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単純梁・連続梁" sheetId="1" r:id="rId1"/>
    <sheet name="片持梁" sheetId="2" r:id="rId2"/>
  </sheets>
  <definedNames>
    <definedName name="B" localSheetId="1">'片持梁'!$P$5</definedName>
    <definedName name="B">'単純梁・連続梁'!$P$5</definedName>
    <definedName name="D" localSheetId="1">'片持梁'!$S$5</definedName>
    <definedName name="D">'単純梁・連続梁'!$S$5</definedName>
    <definedName name="dt" localSheetId="1">'片持梁'!$O$17</definedName>
    <definedName name="dt">'単純梁・連続梁'!$O$18</definedName>
    <definedName name="Fc" localSheetId="1">'片持梁'!$O$18</definedName>
    <definedName name="Fc">'単純梁・連続梁'!$O$19</definedName>
    <definedName name="ft" localSheetId="1">'片持梁'!$V$19</definedName>
    <definedName name="ft">'単純梁・連続梁'!$V$20</definedName>
    <definedName name="J" localSheetId="1">'片持梁'!$O$31</definedName>
    <definedName name="J">'単純梁・連続梁'!$O$36</definedName>
    <definedName name="L" localSheetId="1">'片持梁'!$P$4</definedName>
    <definedName name="L">'単純梁・連続梁'!$P$4</definedName>
    <definedName name="L_1" localSheetId="1">'片持梁'!$Q$10</definedName>
    <definedName name="L_1">'単純梁・連続梁'!$Q$10</definedName>
    <definedName name="L_2" localSheetId="1">'片持梁'!#REF!</definedName>
    <definedName name="L_2">'単純梁・連続梁'!$Q$13</definedName>
    <definedName name="L_3" localSheetId="1">'片持梁'!#REF!</definedName>
    <definedName name="L_3">'単純梁・連続梁'!$X$13</definedName>
    <definedName name="M_1" localSheetId="1">'片持梁'!$F$24</definedName>
    <definedName name="M_1">'単純梁・連続梁'!$Z$31</definedName>
    <definedName name="M_2" localSheetId="1">'片持梁'!$V$24</definedName>
    <definedName name="M_2">'単純梁・連続梁'!$Z$32</definedName>
    <definedName name="P" localSheetId="1">'片持梁'!$O$11</definedName>
    <definedName name="P">'単純梁・連続梁'!$O$12</definedName>
    <definedName name="_xlnm.Print_Area" localSheetId="0">'単純梁・連続梁'!$A$1:$AE$51</definedName>
    <definedName name="_xlnm.Print_Area" localSheetId="1">'片持梁'!$A$1:$AE$50</definedName>
    <definedName name="Q" localSheetId="1">'片持梁'!$F$28</definedName>
    <definedName name="Q">'単純梁・連続梁'!$J$33</definedName>
    <definedName name="W" localSheetId="1">'片持梁'!$Q$14</definedName>
    <definedName name="W">'単純梁・連続梁'!$Q$15</definedName>
    <definedName name="W_1" localSheetId="1">'片持梁'!$O$8</definedName>
    <definedName name="W_1">'単純梁・連続梁'!$O$8</definedName>
    <definedName name="W_2" localSheetId="1">'片持梁'!$O$9</definedName>
    <definedName name="W_2">'単純梁・連続梁'!$O$9</definedName>
    <definedName name="W_3" localSheetId="1">'片持梁'!#REF!</definedName>
    <definedName name="W_3">'単純梁・連続梁'!$O$11</definedName>
    <definedName name="α">'片持梁'!$Q$20</definedName>
  </definedNames>
  <calcPr fullCalcOnLoad="1"/>
</workbook>
</file>

<file path=xl/sharedStrings.xml><?xml version="1.0" encoding="utf-8"?>
<sst xmlns="http://schemas.openxmlformats.org/spreadsheetml/2006/main" count="310" uniqueCount="184">
  <si>
    <t>=</t>
  </si>
  <si>
    <t>cm</t>
  </si>
  <si>
    <t>kN/m</t>
  </si>
  <si>
    <t>(</t>
  </si>
  <si>
    <t>)</t>
  </si>
  <si>
    <t>検定比</t>
  </si>
  <si>
    <t>kN</t>
  </si>
  <si>
    <t>：コンクリート強度</t>
  </si>
  <si>
    <t>≪使用方法≫</t>
  </si>
  <si>
    <t>で表示されている部分を入力して下さい。また、使用にあたっては計算に間違いないか</t>
  </si>
  <si>
    <t>確認をして使用して下さい。</t>
  </si>
  <si>
    <t>【広 告】</t>
  </si>
  <si>
    <t>『建築構造設計べんりねっと』オリジナル構造計算プログラム、電子書籍</t>
  </si>
  <si>
    <t>価格：500円（税込み）</t>
  </si>
  <si>
    <t>●</t>
  </si>
  <si>
    <t xml:space="preserve">ラップ式柱状改良の断面性能 </t>
  </si>
  <si>
    <t>=</t>
  </si>
  <si>
    <t>=</t>
  </si>
  <si>
    <t>cm</t>
  </si>
  <si>
    <t>●</t>
  </si>
  <si>
    <t>構造設計講座（ＲＣマンション編）</t>
  </si>
  <si>
    <t>P</t>
  </si>
  <si>
    <t>=</t>
  </si>
  <si>
    <t>m</t>
  </si>
  <si>
    <t>kN/㎡</t>
  </si>
  <si>
    <t>P</t>
  </si>
  <si>
    <t>L</t>
  </si>
  <si>
    <t>Fc</t>
  </si>
  <si>
    <t>=</t>
  </si>
  <si>
    <r>
      <t>N/mm</t>
    </r>
    <r>
      <rPr>
        <vertAlign val="superscript"/>
        <sz val="10"/>
        <rFont val="ＭＳ ゴシック"/>
        <family val="3"/>
      </rPr>
      <t>2</t>
    </r>
  </si>
  <si>
    <t>=</t>
  </si>
  <si>
    <t>j</t>
  </si>
  <si>
    <t>=</t>
  </si>
  <si>
    <t>cm</t>
  </si>
  <si>
    <t>at</t>
  </si>
  <si>
    <r>
      <t>cm</t>
    </r>
    <r>
      <rPr>
        <vertAlign val="superscript"/>
        <sz val="10"/>
        <rFont val="ＭＳ ゴシック"/>
        <family val="3"/>
      </rPr>
      <t>2</t>
    </r>
  </si>
  <si>
    <t>⇒</t>
  </si>
  <si>
    <t>τ</t>
  </si>
  <si>
    <t>=</t>
  </si>
  <si>
    <r>
      <t>kN/cm</t>
    </r>
    <r>
      <rPr>
        <vertAlign val="superscript"/>
        <sz val="10"/>
        <rFont val="ＭＳ ゴシック"/>
        <family val="3"/>
      </rPr>
      <t>2</t>
    </r>
  </si>
  <si>
    <t>&lt;</t>
  </si>
  <si>
    <t>(</t>
  </si>
  <si>
    <t>)</t>
  </si>
  <si>
    <t xml:space="preserve">コンクリートブロック土留めの設計 </t>
  </si>
  <si>
    <t xml:space="preserve">擁壁下のラップ形式柱状地盤改良設計 </t>
  </si>
  <si>
    <t>W1 (kN/m)</t>
  </si>
  <si>
    <t>W2 (kN/㎡)</t>
  </si>
  <si>
    <t>　W3 (kN/㎡)</t>
  </si>
  <si>
    <t>L</t>
  </si>
  <si>
    <t>W1</t>
  </si>
  <si>
    <t>W2</t>
  </si>
  <si>
    <t>W3</t>
  </si>
  <si>
    <t>w</t>
  </si>
  <si>
    <t>dt</t>
  </si>
  <si>
    <t>：等分布荷重</t>
  </si>
  <si>
    <t>：台形分布荷重</t>
  </si>
  <si>
    <t>：三角形分布荷重</t>
  </si>
  <si>
    <t>：集中荷重分布荷重</t>
  </si>
  <si>
    <t>①スパン、断面</t>
  </si>
  <si>
    <t>B×D</t>
  </si>
  <si>
    <t>×</t>
  </si>
  <si>
    <t>②荷重</t>
  </si>
  <si>
    <t>：部材自重</t>
  </si>
  <si>
    <t>③設計条件等</t>
  </si>
  <si>
    <t>ΣW</t>
  </si>
  <si>
    <t>L1</t>
  </si>
  <si>
    <t>L2</t>
  </si>
  <si>
    <t xml:space="preserve"> P(kN)</t>
  </si>
  <si>
    <t>M0(kN･m)</t>
  </si>
  <si>
    <t>Q(kN)</t>
  </si>
  <si>
    <t>荷重</t>
  </si>
  <si>
    <t>W1+w</t>
  </si>
  <si>
    <t>④応力計算</t>
  </si>
  <si>
    <t>合計</t>
  </si>
  <si>
    <t>・曲げモーメント</t>
  </si>
  <si>
    <t>中央部</t>
  </si>
  <si>
    <t>端　部</t>
  </si>
  <si>
    <t>kN･m</t>
  </si>
  <si>
    <t>※ＲＣ規準より</t>
  </si>
  <si>
    <r>
      <t>C</t>
    </r>
    <r>
      <rPr>
        <vertAlign val="subscript"/>
        <sz val="10"/>
        <rFont val="ＭＳ ゴシック"/>
        <family val="3"/>
      </rPr>
      <t>A</t>
    </r>
    <r>
      <rPr>
        <sz val="10"/>
        <rFont val="ＭＳ ゴシック"/>
        <family val="3"/>
      </rPr>
      <t>(kN･m)</t>
    </r>
  </si>
  <si>
    <r>
      <t>C</t>
    </r>
    <r>
      <rPr>
        <vertAlign val="subscript"/>
        <sz val="10"/>
        <rFont val="ＭＳ ゴシック"/>
        <family val="3"/>
      </rPr>
      <t>B</t>
    </r>
    <r>
      <rPr>
        <sz val="10"/>
        <rFont val="ＭＳ ゴシック"/>
        <family val="3"/>
      </rPr>
      <t>(kN･m)</t>
    </r>
  </si>
  <si>
    <t>A</t>
  </si>
  <si>
    <t>B</t>
  </si>
  <si>
    <t>L3</t>
  </si>
  <si>
    <t>m</t>
  </si>
  <si>
    <t>L/2</t>
  </si>
  <si>
    <t>【ＲＣ小梁の設計】</t>
  </si>
  <si>
    <t>スパン形式：</t>
  </si>
  <si>
    <t>スパン形式は、単純梁、連続梁（端部）、連続梁（内部）から選択して下さい。連続梁（端部）</t>
  </si>
  <si>
    <t>の場合はＢ端（右端）が内端になるように入力をして下さい。</t>
  </si>
  <si>
    <t>単純梁</t>
  </si>
  <si>
    <t>連続梁（端部）</t>
  </si>
  <si>
    <t>連続梁（内部）</t>
  </si>
  <si>
    <t>中央</t>
  </si>
  <si>
    <t>M0-0.35･C</t>
  </si>
  <si>
    <t>端部</t>
  </si>
  <si>
    <t>0.65･C</t>
  </si>
  <si>
    <t>M0-0.65･C</t>
  </si>
  <si>
    <t>M0-0.75･C</t>
  </si>
  <si>
    <t>1.3･C</t>
  </si>
  <si>
    <t>C</t>
  </si>
  <si>
    <t>-</t>
  </si>
  <si>
    <t>中央係数</t>
  </si>
  <si>
    <t>端部係数</t>
  </si>
  <si>
    <t>・せん断力</t>
  </si>
  <si>
    <t>Q</t>
  </si>
  <si>
    <t>M1</t>
  </si>
  <si>
    <t>M2</t>
  </si>
  <si>
    <t>⑤曲げ応力に対する断面検定</t>
  </si>
  <si>
    <t>・中央部</t>
  </si>
  <si>
    <t>⑥せん断応力に対する断面検定</t>
  </si>
  <si>
    <t>主筋：</t>
  </si>
  <si>
    <t>SD295A</t>
  </si>
  <si>
    <t>SD345</t>
  </si>
  <si>
    <t>ft</t>
  </si>
  <si>
    <t>( ft =</t>
  </si>
  <si>
    <t>D13</t>
  </si>
  <si>
    <t>D16</t>
  </si>
  <si>
    <t>D19</t>
  </si>
  <si>
    <t>D19</t>
  </si>
  <si>
    <t>D22</t>
  </si>
  <si>
    <t>D25</t>
  </si>
  <si>
    <t>at</t>
  </si>
  <si>
    <t>・端部</t>
  </si>
  <si>
    <r>
      <t>cm</t>
    </r>
    <r>
      <rPr>
        <vertAlign val="superscript"/>
        <sz val="10"/>
        <rFont val="ＭＳ ゴシック"/>
        <family val="3"/>
      </rPr>
      <t xml:space="preserve">2 </t>
    </r>
    <r>
      <rPr>
        <sz val="10"/>
        <rFont val="ＭＳ ゴシック"/>
        <family val="3"/>
      </rPr>
      <t>)</t>
    </r>
  </si>
  <si>
    <t>単純梁</t>
  </si>
  <si>
    <t>地盤許容応力度の計算（EXCELシート）</t>
  </si>
  <si>
    <t>SD345</t>
  </si>
  <si>
    <t>W1 (kN/m)</t>
  </si>
  <si>
    <t>L</t>
  </si>
  <si>
    <t>=</t>
  </si>
  <si>
    <t>m</t>
  </si>
  <si>
    <t>B×D</t>
  </si>
  <si>
    <t>×</t>
  </si>
  <si>
    <t>cm</t>
  </si>
  <si>
    <t>L</t>
  </si>
  <si>
    <t>W1</t>
  </si>
  <si>
    <t>=</t>
  </si>
  <si>
    <t>kN/m</t>
  </si>
  <si>
    <t>W2</t>
  </si>
  <si>
    <t>=</t>
  </si>
  <si>
    <t>kN/㎡</t>
  </si>
  <si>
    <t>ft</t>
  </si>
  <si>
    <t>at</t>
  </si>
  <si>
    <t>=</t>
  </si>
  <si>
    <t>SD295A</t>
  </si>
  <si>
    <t>D13</t>
  </si>
  <si>
    <t>SD345</t>
  </si>
  <si>
    <t>D16</t>
  </si>
  <si>
    <t>P</t>
  </si>
  <si>
    <t>kN</t>
  </si>
  <si>
    <t>D19</t>
  </si>
  <si>
    <t>D22</t>
  </si>
  <si>
    <t>L/2</t>
  </si>
  <si>
    <t>w</t>
  </si>
  <si>
    <t>kN/m</t>
  </si>
  <si>
    <t>D25</t>
  </si>
  <si>
    <t>ΣW</t>
  </si>
  <si>
    <t>dt</t>
  </si>
  <si>
    <t>cm</t>
  </si>
  <si>
    <t>Fc</t>
  </si>
  <si>
    <r>
      <t>N/mm</t>
    </r>
    <r>
      <rPr>
        <vertAlign val="superscript"/>
        <sz val="10"/>
        <rFont val="ＭＳ ゴシック"/>
        <family val="3"/>
      </rPr>
      <t>2</t>
    </r>
  </si>
  <si>
    <t xml:space="preserve"> P(kN)</t>
  </si>
  <si>
    <t>( ft =</t>
  </si>
  <si>
    <t>)</t>
  </si>
  <si>
    <t>L</t>
  </si>
  <si>
    <t>kN･m</t>
  </si>
  <si>
    <t>Q</t>
  </si>
  <si>
    <t>=</t>
  </si>
  <si>
    <t>kN</t>
  </si>
  <si>
    <r>
      <t>cm</t>
    </r>
    <r>
      <rPr>
        <vertAlign val="superscript"/>
        <sz val="10"/>
        <rFont val="ＭＳ ゴシック"/>
        <family val="3"/>
      </rPr>
      <t>2</t>
    </r>
  </si>
  <si>
    <t>⇒</t>
  </si>
  <si>
    <t>τ</t>
  </si>
  <si>
    <t>=</t>
  </si>
  <si>
    <r>
      <t>kN/cm</t>
    </r>
    <r>
      <rPr>
        <vertAlign val="superscript"/>
        <sz val="10"/>
        <rFont val="ＭＳ ゴシック"/>
        <family val="3"/>
      </rPr>
      <t>2</t>
    </r>
  </si>
  <si>
    <t>&lt;</t>
  </si>
  <si>
    <t>　W2 (kN/㎡)</t>
  </si>
  <si>
    <t>【ＲＣ片持小梁の設計】</t>
  </si>
  <si>
    <t>SD295A</t>
  </si>
  <si>
    <t>M</t>
  </si>
  <si>
    <t>応力割増：</t>
  </si>
  <si>
    <t>価格：300円（税別）</t>
  </si>
  <si>
    <t>価格：500円（税別）</t>
  </si>
  <si>
    <t>価格：1,000円（税別）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</si>
</sst>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_ "/>
    <numFmt numFmtId="180" formatCode="0_ "/>
    <numFmt numFmtId="181" formatCode="0.000000_ "/>
    <numFmt numFmtId="182" formatCode="0.00000_ "/>
    <numFmt numFmtId="183" formatCode="0.00000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vertAlign val="superscript"/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2"/>
      <color indexed="10"/>
      <name val="ＭＳ ゴシック"/>
      <family val="3"/>
    </font>
    <font>
      <sz val="10"/>
      <color indexed="12"/>
      <name val="ＭＳ ゴシック"/>
      <family val="3"/>
    </font>
    <font>
      <b/>
      <u val="single"/>
      <sz val="11"/>
      <color indexed="12"/>
      <name val="ＭＳ Ｐゴシック"/>
      <family val="3"/>
    </font>
    <font>
      <sz val="6"/>
      <name val="ＭＳ Ｐ明朝"/>
      <family val="1"/>
    </font>
    <font>
      <vertAlign val="subscript"/>
      <sz val="10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57"/>
      </left>
      <right>
        <color indexed="63"/>
      </right>
      <top style="thick">
        <color indexed="57"/>
      </top>
      <bottom>
        <color indexed="63"/>
      </bottom>
    </border>
    <border>
      <left>
        <color indexed="63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57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 style="thick">
        <color indexed="17"/>
      </right>
      <top>
        <color indexed="63"/>
      </top>
      <bottom style="thick">
        <color indexed="17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>
      <alignment/>
      <protection/>
    </xf>
    <xf numFmtId="0" fontId="1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Fill="1" applyAlignment="1" applyProtection="1" quotePrefix="1">
      <alignment horizontal="left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 quotePrefix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61" applyFont="1" applyFill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61" applyFont="1" applyFill="1" applyBorder="1" applyAlignment="1" applyProtection="1" quotePrefix="1">
      <alignment horizontal="left"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0" xfId="61" applyFont="1" applyFill="1" applyAlignment="1" applyProtection="1" quotePrefix="1">
      <alignment horizontal="left"/>
      <protection/>
    </xf>
    <xf numFmtId="0" fontId="2" fillId="0" borderId="0" xfId="0" applyFont="1" applyAlignment="1" applyProtection="1" quotePrefix="1">
      <alignment horizontal="left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shrinkToFi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/>
      <protection/>
    </xf>
    <xf numFmtId="0" fontId="10" fillId="0" borderId="0" xfId="43" applyFont="1" applyBorder="1" applyAlignment="1" applyProtection="1">
      <alignment horizontal="left"/>
      <protection/>
    </xf>
    <xf numFmtId="0" fontId="2" fillId="0" borderId="0" xfId="61" applyFont="1" applyFill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0" xfId="61" applyFont="1" applyFill="1" applyAlignment="1" applyProtection="1" quotePrefix="1">
      <alignment horizontal="left"/>
      <protection/>
    </xf>
    <xf numFmtId="0" fontId="2" fillId="0" borderId="0" xfId="0" applyFont="1" applyAlignment="1" applyProtection="1" quotePrefix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 quotePrefix="1">
      <alignment horizontal="left"/>
      <protection/>
    </xf>
    <xf numFmtId="0" fontId="2" fillId="0" borderId="2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178" fontId="2" fillId="0" borderId="0" xfId="0" applyNumberFormat="1" applyFont="1" applyAlignment="1" applyProtection="1">
      <alignment horizontal="center"/>
      <protection/>
    </xf>
    <xf numFmtId="0" fontId="2" fillId="0" borderId="22" xfId="0" applyFon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80" fontId="2" fillId="0" borderId="0" xfId="0" applyNumberFormat="1" applyFont="1" applyAlignment="1" applyProtection="1">
      <alignment horizontal="center"/>
      <protection/>
    </xf>
    <xf numFmtId="17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 horizontal="right"/>
      <protection/>
    </xf>
    <xf numFmtId="0" fontId="2" fillId="0" borderId="0" xfId="0" applyFont="1" applyBorder="1" applyAlignment="1" applyProtection="1" quotePrefix="1">
      <alignment horizontal="center" vertical="center"/>
      <protection/>
    </xf>
    <xf numFmtId="0" fontId="2" fillId="0" borderId="23" xfId="0" applyFont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1" xfId="61" applyFont="1" applyFill="1" applyBorder="1" applyAlignment="1" applyProtection="1">
      <alignment/>
      <protection/>
    </xf>
    <xf numFmtId="178" fontId="2" fillId="0" borderId="0" xfId="0" applyNumberFormat="1" applyFont="1" applyAlignment="1" applyProtection="1">
      <alignment/>
      <protection/>
    </xf>
    <xf numFmtId="0" fontId="2" fillId="0" borderId="0" xfId="61" applyFont="1" applyFill="1" applyBorder="1" applyAlignment="1" applyProtection="1" quotePrefix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178" fontId="2" fillId="0" borderId="0" xfId="0" applyNumberFormat="1" applyFont="1" applyFill="1" applyAlignment="1" applyProtection="1">
      <alignment/>
      <protection/>
    </xf>
    <xf numFmtId="179" fontId="2" fillId="0" borderId="0" xfId="0" applyNumberFormat="1" applyFont="1" applyFill="1" applyAlignment="1" applyProtection="1">
      <alignment/>
      <protection/>
    </xf>
    <xf numFmtId="178" fontId="2" fillId="0" borderId="0" xfId="0" applyNumberFormat="1" applyFont="1" applyAlignment="1" applyProtection="1" quotePrefix="1">
      <alignment horizontal="center"/>
      <protection/>
    </xf>
    <xf numFmtId="0" fontId="2" fillId="0" borderId="0" xfId="0" applyFont="1" applyFill="1" applyAlignment="1" applyProtection="1">
      <alignment horizontal="center" shrinkToFit="1"/>
      <protection/>
    </xf>
    <xf numFmtId="0" fontId="2" fillId="33" borderId="0" xfId="0" applyFont="1" applyFill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/>
    </xf>
    <xf numFmtId="0" fontId="2" fillId="34" borderId="24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shrinkToFit="1"/>
      <protection locked="0"/>
    </xf>
    <xf numFmtId="0" fontId="2" fillId="0" borderId="0" xfId="0" applyFont="1" applyBorder="1" applyAlignment="1" applyProtection="1" quotePrefix="1">
      <alignment vertical="center"/>
      <protection/>
    </xf>
    <xf numFmtId="178" fontId="2" fillId="0" borderId="0" xfId="0" applyNumberFormat="1" applyFont="1" applyBorder="1" applyAlignment="1" applyProtection="1">
      <alignment vertical="center"/>
      <protection/>
    </xf>
    <xf numFmtId="177" fontId="2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8" fontId="2" fillId="0" borderId="0" xfId="0" applyNumberFormat="1" applyFont="1" applyBorder="1" applyAlignment="1" applyProtection="1" quotePrefix="1">
      <alignment vertical="center"/>
      <protection/>
    </xf>
    <xf numFmtId="178" fontId="2" fillId="0" borderId="0" xfId="0" applyNumberFormat="1" applyFont="1" applyFill="1" applyAlignment="1" applyProtection="1">
      <alignment shrinkToFit="1"/>
      <protection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shrinkToFit="1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178" fontId="2" fillId="0" borderId="0" xfId="0" applyNumberFormat="1" applyFont="1" applyAlignment="1" applyProtection="1">
      <alignment horizontal="center" shrinkToFit="1"/>
      <protection/>
    </xf>
    <xf numFmtId="0" fontId="2" fillId="35" borderId="0" xfId="0" applyFont="1" applyFill="1" applyAlignment="1" applyProtection="1">
      <alignment horizontal="center" shrinkToFit="1"/>
      <protection locked="0"/>
    </xf>
    <xf numFmtId="0" fontId="2" fillId="0" borderId="0" xfId="0" applyFont="1" applyAlignment="1" applyProtection="1">
      <alignment horizontal="center" shrinkToFit="1"/>
      <protection/>
    </xf>
    <xf numFmtId="178" fontId="2" fillId="0" borderId="0" xfId="0" applyNumberFormat="1" applyFont="1" applyAlignment="1" applyProtection="1">
      <alignment horizontal="center"/>
      <protection/>
    </xf>
    <xf numFmtId="0" fontId="2" fillId="0" borderId="25" xfId="0" applyFont="1" applyBorder="1" applyAlignment="1" applyProtection="1" quotePrefix="1">
      <alignment horizontal="center"/>
      <protection/>
    </xf>
    <xf numFmtId="0" fontId="2" fillId="0" borderId="0" xfId="0" applyFont="1" applyAlignment="1" applyProtection="1" quotePrefix="1">
      <alignment horizontal="center"/>
      <protection/>
    </xf>
    <xf numFmtId="178" fontId="2" fillId="0" borderId="25" xfId="0" applyNumberFormat="1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 quotePrefix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 quotePrefix="1">
      <alignment horizontal="center" vertical="center" shrinkToFit="1"/>
      <protection/>
    </xf>
    <xf numFmtId="0" fontId="2" fillId="0" borderId="25" xfId="0" applyFont="1" applyBorder="1" applyAlignment="1" applyProtection="1">
      <alignment horizontal="center" vertical="center" shrinkToFit="1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178" fontId="2" fillId="0" borderId="26" xfId="0" applyNumberFormat="1" applyFont="1" applyBorder="1" applyAlignment="1" applyProtection="1" quotePrefix="1">
      <alignment horizontal="right" vertical="center"/>
      <protection/>
    </xf>
    <xf numFmtId="178" fontId="2" fillId="0" borderId="20" xfId="0" applyNumberFormat="1" applyFont="1" applyBorder="1" applyAlignment="1" applyProtection="1" quotePrefix="1">
      <alignment horizontal="right" vertical="center"/>
      <protection/>
    </xf>
    <xf numFmtId="0" fontId="2" fillId="0" borderId="0" xfId="0" applyFont="1" applyAlignment="1" applyProtection="1">
      <alignment horizontal="center" vertical="center" textRotation="90"/>
      <protection/>
    </xf>
    <xf numFmtId="0" fontId="2" fillId="0" borderId="0" xfId="0" applyFont="1" applyAlignment="1" applyProtection="1">
      <alignment horizontal="left"/>
      <protection/>
    </xf>
    <xf numFmtId="0" fontId="2" fillId="35" borderId="0" xfId="0" applyFont="1" applyFill="1" applyAlignment="1" applyProtection="1">
      <alignment horizontal="center"/>
      <protection locked="0"/>
    </xf>
    <xf numFmtId="178" fontId="2" fillId="0" borderId="26" xfId="0" applyNumberFormat="1" applyFont="1" applyBorder="1" applyAlignment="1" applyProtection="1">
      <alignment vertical="center"/>
      <protection/>
    </xf>
    <xf numFmtId="178" fontId="2" fillId="0" borderId="20" xfId="0" applyNumberFormat="1" applyFont="1" applyBorder="1" applyAlignment="1" applyProtection="1">
      <alignment vertical="center"/>
      <protection/>
    </xf>
    <xf numFmtId="178" fontId="2" fillId="0" borderId="26" xfId="0" applyNumberFormat="1" applyFont="1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horizontal="right"/>
      <protection/>
    </xf>
    <xf numFmtId="0" fontId="2" fillId="0" borderId="26" xfId="0" applyFont="1" applyBorder="1" applyAlignment="1" applyProtection="1" quotePrefix="1">
      <alignment horizontal="center" vertical="center"/>
      <protection/>
    </xf>
    <xf numFmtId="0" fontId="2" fillId="0" borderId="20" xfId="0" applyFont="1" applyBorder="1" applyAlignment="1" applyProtection="1" quotePrefix="1">
      <alignment horizontal="center" vertical="center"/>
      <protection/>
    </xf>
    <xf numFmtId="0" fontId="2" fillId="0" borderId="23" xfId="0" applyFont="1" applyBorder="1" applyAlignment="1" applyProtection="1" quotePrefix="1">
      <alignment horizontal="center" vertical="center"/>
      <protection/>
    </xf>
    <xf numFmtId="178" fontId="2" fillId="0" borderId="20" xfId="0" applyNumberFormat="1" applyFont="1" applyBorder="1" applyAlignment="1" applyProtection="1">
      <alignment horizontal="right" vertical="center"/>
      <protection/>
    </xf>
    <xf numFmtId="179" fontId="2" fillId="35" borderId="0" xfId="0" applyNumberFormat="1" applyFont="1" applyFill="1" applyAlignment="1" applyProtection="1">
      <alignment horizontal="center"/>
      <protection locked="0"/>
    </xf>
    <xf numFmtId="177" fontId="2" fillId="35" borderId="0" xfId="0" applyNumberFormat="1" applyFont="1" applyFill="1" applyAlignment="1" applyProtection="1">
      <alignment horizontal="center"/>
      <protection locked="0"/>
    </xf>
    <xf numFmtId="177" fontId="2" fillId="36" borderId="0" xfId="0" applyNumberFormat="1" applyFont="1" applyFill="1" applyAlignment="1" applyProtection="1">
      <alignment horizontal="center"/>
      <protection locked="0"/>
    </xf>
    <xf numFmtId="178" fontId="2" fillId="35" borderId="0" xfId="0" applyNumberFormat="1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35" borderId="27" xfId="61" applyFont="1" applyFill="1" applyBorder="1" applyAlignment="1" applyProtection="1">
      <alignment horizontal="center"/>
      <protection/>
    </xf>
    <xf numFmtId="0" fontId="2" fillId="35" borderId="28" xfId="61" applyFont="1" applyFill="1" applyBorder="1" applyAlignment="1" applyProtection="1">
      <alignment horizontal="center"/>
      <protection/>
    </xf>
    <xf numFmtId="180" fontId="2" fillId="35" borderId="0" xfId="0" applyNumberFormat="1" applyFont="1" applyFill="1" applyAlignment="1" applyProtection="1">
      <alignment horizontal="center"/>
      <protection locked="0"/>
    </xf>
    <xf numFmtId="0" fontId="2" fillId="0" borderId="0" xfId="0" applyFont="1" applyAlignment="1" applyProtection="1" quotePrefix="1">
      <alignment horizontal="left" shrinkToFit="1"/>
      <protection/>
    </xf>
    <xf numFmtId="0" fontId="2" fillId="0" borderId="29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0" fillId="0" borderId="0" xfId="43" applyFont="1" applyFill="1" applyBorder="1" applyAlignment="1" applyProtection="1">
      <alignment horizontal="left"/>
      <protection/>
    </xf>
    <xf numFmtId="0" fontId="10" fillId="0" borderId="0" xfId="43" applyFont="1" applyBorder="1" applyAlignment="1" applyProtection="1">
      <alignment horizontal="left"/>
      <protection/>
    </xf>
    <xf numFmtId="0" fontId="2" fillId="0" borderId="0" xfId="0" applyFont="1" applyAlignment="1" applyProtection="1" quotePrefix="1">
      <alignment horizontal="center" shrinkToFit="1"/>
      <protection/>
    </xf>
    <xf numFmtId="179" fontId="2" fillId="0" borderId="0" xfId="0" applyNumberFormat="1" applyFont="1" applyAlignment="1" applyProtection="1">
      <alignment horizontal="left"/>
      <protection/>
    </xf>
    <xf numFmtId="0" fontId="8" fillId="0" borderId="0" xfId="0" applyFont="1" applyFill="1" applyAlignment="1" applyProtection="1" quotePrefix="1">
      <alignment horizontal="left" vertical="center"/>
      <protection/>
    </xf>
    <xf numFmtId="0" fontId="10" fillId="0" borderId="0" xfId="43" applyFont="1" applyBorder="1" applyAlignment="1" applyProtection="1" quotePrefix="1">
      <alignment horizontal="left"/>
      <protection/>
    </xf>
    <xf numFmtId="178" fontId="2" fillId="0" borderId="26" xfId="0" applyNumberFormat="1" applyFont="1" applyBorder="1" applyAlignment="1" applyProtection="1" quotePrefix="1">
      <alignment vertical="center"/>
      <protection/>
    </xf>
    <xf numFmtId="178" fontId="2" fillId="0" borderId="20" xfId="0" applyNumberFormat="1" applyFont="1" applyBorder="1" applyAlignment="1" applyProtection="1" quotePrefix="1">
      <alignment vertical="center"/>
      <protection/>
    </xf>
    <xf numFmtId="177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 quotePrefix="1">
      <alignment horizontal="center" vertical="center" textRotation="90"/>
      <protection/>
    </xf>
    <xf numFmtId="0" fontId="2" fillId="35" borderId="0" xfId="0" applyFont="1" applyFill="1" applyAlignment="1" applyProtection="1">
      <alignment horizontal="center"/>
      <protection/>
    </xf>
    <xf numFmtId="178" fontId="2" fillId="0" borderId="0" xfId="0" applyNumberFormat="1" applyFont="1" applyFill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基礎計算ツールnew" xfId="61"/>
    <cellStyle name="Followed Hyperlink" xfId="62"/>
    <cellStyle name="良い" xfId="63"/>
  </cellStyles>
  <dxfs count="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9</xdr:col>
      <xdr:colOff>0</xdr:colOff>
      <xdr:row>9</xdr:row>
      <xdr:rowOff>0</xdr:rowOff>
    </xdr:to>
    <xdr:sp>
      <xdr:nvSpPr>
        <xdr:cNvPr id="1" name="AutoShape 31" descr="縦線"/>
        <xdr:cNvSpPr>
          <a:spLocks/>
        </xdr:cNvSpPr>
      </xdr:nvSpPr>
      <xdr:spPr>
        <a:xfrm flipV="1">
          <a:off x="800100" y="1581150"/>
          <a:ext cx="1095375" cy="190500"/>
        </a:xfrm>
        <a:prstGeom prst="flowChartManualOperation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" name="Line 20"/>
        <xdr:cNvSpPr>
          <a:spLocks/>
        </xdr:cNvSpPr>
      </xdr:nvSpPr>
      <xdr:spPr>
        <a:xfrm flipV="1">
          <a:off x="800100" y="1200150"/>
          <a:ext cx="1095375" cy="0"/>
        </a:xfrm>
        <a:prstGeom prst="line">
          <a:avLst/>
        </a:prstGeom>
        <a:noFill/>
        <a:ln w="317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9</xdr:col>
      <xdr:colOff>0</xdr:colOff>
      <xdr:row>4</xdr:row>
      <xdr:rowOff>0</xdr:rowOff>
    </xdr:to>
    <xdr:sp>
      <xdr:nvSpPr>
        <xdr:cNvPr id="3" name="Rectangle 26" descr="縦線"/>
        <xdr:cNvSpPr>
          <a:spLocks/>
        </xdr:cNvSpPr>
      </xdr:nvSpPr>
      <xdr:spPr>
        <a:xfrm>
          <a:off x="800100" y="628650"/>
          <a:ext cx="1095375" cy="1905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4" name="Line 27"/>
        <xdr:cNvSpPr>
          <a:spLocks/>
        </xdr:cNvSpPr>
      </xdr:nvSpPr>
      <xdr:spPr>
        <a:xfrm>
          <a:off x="800100" y="819150"/>
          <a:ext cx="10953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5" name="Line 28"/>
        <xdr:cNvSpPr>
          <a:spLocks/>
        </xdr:cNvSpPr>
      </xdr:nvSpPr>
      <xdr:spPr>
        <a:xfrm flipV="1">
          <a:off x="800100" y="2152650"/>
          <a:ext cx="1095375" cy="0"/>
        </a:xfrm>
        <a:prstGeom prst="line">
          <a:avLst/>
        </a:prstGeom>
        <a:noFill/>
        <a:ln w="317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9525</xdr:rowOff>
    </xdr:from>
    <xdr:to>
      <xdr:col>9</xdr:col>
      <xdr:colOff>0</xdr:colOff>
      <xdr:row>9</xdr:row>
      <xdr:rowOff>9525</xdr:rowOff>
    </xdr:to>
    <xdr:sp>
      <xdr:nvSpPr>
        <xdr:cNvPr id="6" name="Line 30"/>
        <xdr:cNvSpPr>
          <a:spLocks/>
        </xdr:cNvSpPr>
      </xdr:nvSpPr>
      <xdr:spPr>
        <a:xfrm>
          <a:off x="800100" y="1781175"/>
          <a:ext cx="10953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7" name="Line 33"/>
        <xdr:cNvSpPr>
          <a:spLocks/>
        </xdr:cNvSpPr>
      </xdr:nvSpPr>
      <xdr:spPr>
        <a:xfrm flipV="1">
          <a:off x="800100" y="3419475"/>
          <a:ext cx="1095375" cy="0"/>
        </a:xfrm>
        <a:prstGeom prst="line">
          <a:avLst/>
        </a:prstGeom>
        <a:noFill/>
        <a:ln w="6350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9525</xdr:rowOff>
    </xdr:from>
    <xdr:to>
      <xdr:col>9</xdr:col>
      <xdr:colOff>0</xdr:colOff>
      <xdr:row>16</xdr:row>
      <xdr:rowOff>9525</xdr:rowOff>
    </xdr:to>
    <xdr:sp>
      <xdr:nvSpPr>
        <xdr:cNvPr id="8" name="Line 34"/>
        <xdr:cNvSpPr>
          <a:spLocks/>
        </xdr:cNvSpPr>
      </xdr:nvSpPr>
      <xdr:spPr>
        <a:xfrm>
          <a:off x="800100" y="3048000"/>
          <a:ext cx="10953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9</xdr:col>
      <xdr:colOff>0</xdr:colOff>
      <xdr:row>16</xdr:row>
      <xdr:rowOff>0</xdr:rowOff>
    </xdr:to>
    <xdr:sp>
      <xdr:nvSpPr>
        <xdr:cNvPr id="9" name="AutoShape 35" descr="縦線"/>
        <xdr:cNvSpPr>
          <a:spLocks/>
        </xdr:cNvSpPr>
      </xdr:nvSpPr>
      <xdr:spPr>
        <a:xfrm>
          <a:off x="800100" y="2533650"/>
          <a:ext cx="1095375" cy="504825"/>
        </a:xfrm>
        <a:prstGeom prst="triangle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10" name="Line 37"/>
        <xdr:cNvSpPr>
          <a:spLocks/>
        </xdr:cNvSpPr>
      </xdr:nvSpPr>
      <xdr:spPr>
        <a:xfrm flipV="1">
          <a:off x="800100" y="4752975"/>
          <a:ext cx="1095375" cy="0"/>
        </a:xfrm>
        <a:prstGeom prst="line">
          <a:avLst/>
        </a:prstGeom>
        <a:noFill/>
        <a:ln w="317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9525</xdr:rowOff>
    </xdr:from>
    <xdr:to>
      <xdr:col>9</xdr:col>
      <xdr:colOff>0</xdr:colOff>
      <xdr:row>22</xdr:row>
      <xdr:rowOff>9525</xdr:rowOff>
    </xdr:to>
    <xdr:sp>
      <xdr:nvSpPr>
        <xdr:cNvPr id="11" name="Line 38"/>
        <xdr:cNvSpPr>
          <a:spLocks/>
        </xdr:cNvSpPr>
      </xdr:nvSpPr>
      <xdr:spPr>
        <a:xfrm>
          <a:off x="800100" y="4191000"/>
          <a:ext cx="10953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22</xdr:row>
      <xdr:rowOff>0</xdr:rowOff>
    </xdr:to>
    <xdr:sp>
      <xdr:nvSpPr>
        <xdr:cNvPr id="12" name="Line 39"/>
        <xdr:cNvSpPr>
          <a:spLocks/>
        </xdr:cNvSpPr>
      </xdr:nvSpPr>
      <xdr:spPr>
        <a:xfrm>
          <a:off x="1457325" y="380047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3" name="Line 40"/>
        <xdr:cNvSpPr>
          <a:spLocks/>
        </xdr:cNvSpPr>
      </xdr:nvSpPr>
      <xdr:spPr>
        <a:xfrm>
          <a:off x="800100" y="4562475"/>
          <a:ext cx="657225" cy="0"/>
        </a:xfrm>
        <a:prstGeom prst="line">
          <a:avLst/>
        </a:prstGeom>
        <a:noFill/>
        <a:ln w="317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9</xdr:row>
      <xdr:rowOff>0</xdr:rowOff>
    </xdr:to>
    <xdr:sp>
      <xdr:nvSpPr>
        <xdr:cNvPr id="14" name="Line 43"/>
        <xdr:cNvSpPr>
          <a:spLocks/>
        </xdr:cNvSpPr>
      </xdr:nvSpPr>
      <xdr:spPr>
        <a:xfrm flipV="1">
          <a:off x="361950" y="1581150"/>
          <a:ext cx="0" cy="190500"/>
        </a:xfrm>
        <a:prstGeom prst="line">
          <a:avLst/>
        </a:prstGeom>
        <a:noFill/>
        <a:ln w="317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0</xdr:colOff>
      <xdr:row>16</xdr:row>
      <xdr:rowOff>0</xdr:rowOff>
    </xdr:to>
    <xdr:sp>
      <xdr:nvSpPr>
        <xdr:cNvPr id="15" name="Line 44"/>
        <xdr:cNvSpPr>
          <a:spLocks/>
        </xdr:cNvSpPr>
      </xdr:nvSpPr>
      <xdr:spPr>
        <a:xfrm flipV="1">
          <a:off x="361950" y="2533650"/>
          <a:ext cx="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6" name="Line 51"/>
        <xdr:cNvSpPr>
          <a:spLocks/>
        </xdr:cNvSpPr>
      </xdr:nvSpPr>
      <xdr:spPr>
        <a:xfrm flipV="1">
          <a:off x="1457325" y="4562475"/>
          <a:ext cx="438150" cy="0"/>
        </a:xfrm>
        <a:prstGeom prst="line">
          <a:avLst/>
        </a:prstGeom>
        <a:noFill/>
        <a:ln w="317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800100" y="1200150"/>
          <a:ext cx="1095375" cy="0"/>
        </a:xfrm>
        <a:prstGeom prst="line">
          <a:avLst/>
        </a:prstGeom>
        <a:noFill/>
        <a:ln w="317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9</xdr:col>
      <xdr:colOff>0</xdr:colOff>
      <xdr:row>4</xdr:row>
      <xdr:rowOff>0</xdr:rowOff>
    </xdr:to>
    <xdr:sp>
      <xdr:nvSpPr>
        <xdr:cNvPr id="2" name="Rectangle 3" descr="縦線"/>
        <xdr:cNvSpPr>
          <a:spLocks/>
        </xdr:cNvSpPr>
      </xdr:nvSpPr>
      <xdr:spPr>
        <a:xfrm>
          <a:off x="800100" y="628650"/>
          <a:ext cx="1095375" cy="1905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3" name="Line 4"/>
        <xdr:cNvSpPr>
          <a:spLocks/>
        </xdr:cNvSpPr>
      </xdr:nvSpPr>
      <xdr:spPr>
        <a:xfrm>
          <a:off x="800100" y="819150"/>
          <a:ext cx="10953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800100" y="2466975"/>
          <a:ext cx="1095375" cy="0"/>
        </a:xfrm>
        <a:prstGeom prst="line">
          <a:avLst/>
        </a:prstGeom>
        <a:noFill/>
        <a:ln w="6350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9525</xdr:rowOff>
    </xdr:from>
    <xdr:to>
      <xdr:col>9</xdr:col>
      <xdr:colOff>0</xdr:colOff>
      <xdr:row>11</xdr:row>
      <xdr:rowOff>9525</xdr:rowOff>
    </xdr:to>
    <xdr:sp>
      <xdr:nvSpPr>
        <xdr:cNvPr id="5" name="Line 8"/>
        <xdr:cNvSpPr>
          <a:spLocks/>
        </xdr:cNvSpPr>
      </xdr:nvSpPr>
      <xdr:spPr>
        <a:xfrm>
          <a:off x="800100" y="2095500"/>
          <a:ext cx="10953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9</xdr:col>
      <xdr:colOff>0</xdr:colOff>
      <xdr:row>11</xdr:row>
      <xdr:rowOff>0</xdr:rowOff>
    </xdr:to>
    <xdr:sp>
      <xdr:nvSpPr>
        <xdr:cNvPr id="6" name="AutoShape 9" descr="縦線"/>
        <xdr:cNvSpPr>
          <a:spLocks/>
        </xdr:cNvSpPr>
      </xdr:nvSpPr>
      <xdr:spPr>
        <a:xfrm>
          <a:off x="800100" y="1581150"/>
          <a:ext cx="1095375" cy="504825"/>
        </a:xfrm>
        <a:prstGeom prst="triangle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7" name="Line 10"/>
        <xdr:cNvSpPr>
          <a:spLocks/>
        </xdr:cNvSpPr>
      </xdr:nvSpPr>
      <xdr:spPr>
        <a:xfrm flipV="1">
          <a:off x="800100" y="3609975"/>
          <a:ext cx="1095375" cy="0"/>
        </a:xfrm>
        <a:prstGeom prst="line">
          <a:avLst/>
        </a:prstGeom>
        <a:noFill/>
        <a:ln w="317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9525</xdr:rowOff>
    </xdr:from>
    <xdr:to>
      <xdr:col>9</xdr:col>
      <xdr:colOff>0</xdr:colOff>
      <xdr:row>17</xdr:row>
      <xdr:rowOff>9525</xdr:rowOff>
    </xdr:to>
    <xdr:sp>
      <xdr:nvSpPr>
        <xdr:cNvPr id="8" name="Line 11"/>
        <xdr:cNvSpPr>
          <a:spLocks/>
        </xdr:cNvSpPr>
      </xdr:nvSpPr>
      <xdr:spPr>
        <a:xfrm>
          <a:off x="800100" y="3238500"/>
          <a:ext cx="10953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17</xdr:row>
      <xdr:rowOff>0</xdr:rowOff>
    </xdr:to>
    <xdr:sp>
      <xdr:nvSpPr>
        <xdr:cNvPr id="9" name="Line 12"/>
        <xdr:cNvSpPr>
          <a:spLocks/>
        </xdr:cNvSpPr>
      </xdr:nvSpPr>
      <xdr:spPr>
        <a:xfrm>
          <a:off x="1895475" y="284797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11</xdr:row>
      <xdr:rowOff>0</xdr:rowOff>
    </xdr:to>
    <xdr:sp>
      <xdr:nvSpPr>
        <xdr:cNvPr id="10" name="Line 15"/>
        <xdr:cNvSpPr>
          <a:spLocks/>
        </xdr:cNvSpPr>
      </xdr:nvSpPr>
      <xdr:spPr>
        <a:xfrm flipV="1">
          <a:off x="361950" y="1581150"/>
          <a:ext cx="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lmarket.jp/products/detail/279343" TargetMode="External" /><Relationship Id="rId2" Type="http://schemas.openxmlformats.org/officeDocument/2006/relationships/hyperlink" Target="http://www.dlmarket.jp/product_info.php/products_id/155431" TargetMode="External" /><Relationship Id="rId3" Type="http://schemas.openxmlformats.org/officeDocument/2006/relationships/hyperlink" Target="https://arc-structure.booth.pm/items/1121029" TargetMode="External" /><Relationship Id="rId4" Type="http://schemas.openxmlformats.org/officeDocument/2006/relationships/hyperlink" Target="https://arc-structure.booth.pm/items/1121036" TargetMode="External" /><Relationship Id="rId5" Type="http://schemas.openxmlformats.org/officeDocument/2006/relationships/hyperlink" Target="https://arc-structure.booth.pm/items/1121046" TargetMode="External" /><Relationship Id="rId6" Type="http://schemas.openxmlformats.org/officeDocument/2006/relationships/hyperlink" Target="https://arc-structure.booth.pm/items/1121046" TargetMode="External" /><Relationship Id="rId7" Type="http://schemas.openxmlformats.org/officeDocument/2006/relationships/hyperlink" Target="https://arc-structure.booth.pm/items/1120978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lmarket.jp/products/detail/279343" TargetMode="External" /><Relationship Id="rId2" Type="http://schemas.openxmlformats.org/officeDocument/2006/relationships/hyperlink" Target="http://www.dlmarket.jp/product_info.php/products_id/155431" TargetMode="External" /><Relationship Id="rId3" Type="http://schemas.openxmlformats.org/officeDocument/2006/relationships/hyperlink" Target="https://arc-structure.booth.pm/items/1121029" TargetMode="External" /><Relationship Id="rId4" Type="http://schemas.openxmlformats.org/officeDocument/2006/relationships/hyperlink" Target="https://arc-structure.booth.pm/items/1121036" TargetMode="External" /><Relationship Id="rId5" Type="http://schemas.openxmlformats.org/officeDocument/2006/relationships/hyperlink" Target="https://arc-structure.booth.pm/items/1121046" TargetMode="External" /><Relationship Id="rId6" Type="http://schemas.openxmlformats.org/officeDocument/2006/relationships/hyperlink" Target="https://arc-structure.booth.pm/items/1121046" TargetMode="External" /><Relationship Id="rId7" Type="http://schemas.openxmlformats.org/officeDocument/2006/relationships/hyperlink" Target="https://arc-structure.booth.pm/items/1120978" TargetMode="Externa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68"/>
  <sheetViews>
    <sheetView tabSelected="1" zoomScalePageLayoutView="0" workbookViewId="0" topLeftCell="A6">
      <selection activeCell="AH19" sqref="AH19:BH38"/>
    </sheetView>
  </sheetViews>
  <sheetFormatPr defaultColWidth="9.00390625" defaultRowHeight="15" customHeight="1"/>
  <cols>
    <col min="1" max="1" width="1.875" style="3" customWidth="1"/>
    <col min="2" max="30" width="2.875" style="3" customWidth="1"/>
    <col min="31" max="31" width="1.875" style="3" customWidth="1"/>
    <col min="32" max="32" width="2.125" style="3" customWidth="1"/>
    <col min="33" max="72" width="2.875" style="3" customWidth="1"/>
    <col min="73" max="16384" width="9.00390625" style="3" customWidth="1"/>
  </cols>
  <sheetData>
    <row r="1" spans="1:3" s="2" customFormat="1" ht="19.5" customHeight="1">
      <c r="A1" s="1" t="s">
        <v>86</v>
      </c>
      <c r="B1" s="1"/>
      <c r="C1" s="1"/>
    </row>
    <row r="2" spans="3:56" ht="15" customHeight="1">
      <c r="C2" s="8"/>
      <c r="I2" s="22"/>
      <c r="J2" s="22"/>
      <c r="K2" s="8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"/>
      <c r="BA2" s="2"/>
      <c r="BB2" s="2"/>
      <c r="BC2" s="2"/>
      <c r="BD2" s="2"/>
    </row>
    <row r="3" spans="3:57" ht="15" customHeight="1">
      <c r="C3" s="30"/>
      <c r="F3" s="20" t="s">
        <v>45</v>
      </c>
      <c r="G3" s="21"/>
      <c r="H3" s="21"/>
      <c r="I3" s="21"/>
      <c r="J3" s="21"/>
      <c r="K3" s="8"/>
      <c r="L3" s="3" t="s">
        <v>58</v>
      </c>
      <c r="AG3" s="31" t="s">
        <v>8</v>
      </c>
      <c r="AH3" s="19"/>
      <c r="AI3" s="2"/>
      <c r="AJ3" s="2"/>
      <c r="AK3" s="2"/>
      <c r="AL3" s="2"/>
      <c r="AM3" s="2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"/>
      <c r="BB3" s="2"/>
      <c r="BC3" s="2"/>
      <c r="BD3" s="2"/>
      <c r="BE3" s="2"/>
    </row>
    <row r="4" spans="3:57" ht="15" customHeight="1">
      <c r="C4" s="30"/>
      <c r="D4" s="12"/>
      <c r="E4" s="12"/>
      <c r="F4" s="24"/>
      <c r="G4" s="24"/>
      <c r="H4" s="24"/>
      <c r="I4" s="24"/>
      <c r="J4" s="21"/>
      <c r="K4" s="8"/>
      <c r="M4" s="79" t="s">
        <v>48</v>
      </c>
      <c r="N4" s="79"/>
      <c r="O4" s="33" t="s">
        <v>22</v>
      </c>
      <c r="P4" s="106">
        <v>6</v>
      </c>
      <c r="Q4" s="106"/>
      <c r="R4" s="106"/>
      <c r="S4" s="3" t="s">
        <v>23</v>
      </c>
      <c r="Y4" s="43" t="s">
        <v>87</v>
      </c>
      <c r="Z4" s="75" t="s">
        <v>125</v>
      </c>
      <c r="AA4" s="75"/>
      <c r="AB4" s="75"/>
      <c r="AC4" s="75"/>
      <c r="AG4" s="19"/>
      <c r="AH4" s="109"/>
      <c r="AI4" s="110"/>
      <c r="AJ4" s="35" t="s">
        <v>9</v>
      </c>
      <c r="AK4" s="2"/>
      <c r="AL4" s="2"/>
      <c r="AM4" s="2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"/>
      <c r="BB4" s="2"/>
      <c r="BC4" s="2"/>
      <c r="BD4" s="2"/>
      <c r="BE4" s="2"/>
    </row>
    <row r="5" spans="3:57" ht="15" customHeight="1">
      <c r="C5" s="8"/>
      <c r="D5" s="12"/>
      <c r="E5" s="23"/>
      <c r="F5" s="23"/>
      <c r="G5" s="23"/>
      <c r="H5" s="23"/>
      <c r="I5" s="23"/>
      <c r="K5" s="8"/>
      <c r="M5" s="79" t="s">
        <v>59</v>
      </c>
      <c r="N5" s="79"/>
      <c r="O5" s="33" t="s">
        <v>22</v>
      </c>
      <c r="P5" s="95">
        <v>30</v>
      </c>
      <c r="Q5" s="95"/>
      <c r="R5" s="33" t="s">
        <v>60</v>
      </c>
      <c r="S5" s="95">
        <v>60</v>
      </c>
      <c r="T5" s="95"/>
      <c r="U5" s="3" t="s">
        <v>1</v>
      </c>
      <c r="AH5" s="2" t="s">
        <v>10</v>
      </c>
      <c r="AI5" s="2"/>
      <c r="AJ5" s="2"/>
      <c r="AK5" s="29"/>
      <c r="AL5" s="29"/>
      <c r="AM5" s="2"/>
      <c r="AN5" s="2"/>
      <c r="AO5" s="2"/>
      <c r="AP5" s="2"/>
      <c r="AQ5" s="29"/>
      <c r="AR5" s="29"/>
      <c r="AS5" s="29"/>
      <c r="AT5" s="29"/>
      <c r="AU5" s="29"/>
      <c r="AV5" s="29"/>
      <c r="AW5" s="29"/>
      <c r="AX5" s="2"/>
      <c r="BB5" s="2"/>
      <c r="BC5" s="2"/>
      <c r="BD5" s="2"/>
      <c r="BE5" s="2"/>
    </row>
    <row r="6" spans="3:50" ht="15" customHeight="1">
      <c r="C6" s="8"/>
      <c r="E6" s="88" t="s">
        <v>26</v>
      </c>
      <c r="F6" s="89"/>
      <c r="G6" s="89"/>
      <c r="H6" s="89"/>
      <c r="I6" s="90"/>
      <c r="K6" s="8"/>
      <c r="L6" s="8"/>
      <c r="AH6" s="35" t="s">
        <v>88</v>
      </c>
      <c r="AI6" s="2"/>
      <c r="AJ6" s="2"/>
      <c r="AK6" s="2"/>
      <c r="AL6" s="2"/>
      <c r="AM6" s="2"/>
      <c r="AN6" s="2"/>
      <c r="AO6" s="2"/>
      <c r="AP6" s="2"/>
      <c r="AQ6" s="29"/>
      <c r="AR6" s="29"/>
      <c r="AS6" s="29"/>
      <c r="AT6" s="29"/>
      <c r="AU6" s="29"/>
      <c r="AV6" s="29"/>
      <c r="AW6" s="29"/>
      <c r="AX6" s="2"/>
    </row>
    <row r="7" spans="4:50" ht="15" customHeight="1">
      <c r="D7" s="108" t="s">
        <v>81</v>
      </c>
      <c r="E7" s="108"/>
      <c r="F7" s="8"/>
      <c r="G7" s="8"/>
      <c r="H7" s="8"/>
      <c r="I7" s="116" t="s">
        <v>82</v>
      </c>
      <c r="J7" s="116"/>
      <c r="K7" s="8"/>
      <c r="L7" s="8" t="s">
        <v>61</v>
      </c>
      <c r="AH7" s="3" t="s">
        <v>89</v>
      </c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"/>
    </row>
    <row r="8" spans="2:49" ht="15" customHeight="1">
      <c r="B8" s="93" t="s">
        <v>65</v>
      </c>
      <c r="F8" s="20" t="s">
        <v>46</v>
      </c>
      <c r="G8" s="21"/>
      <c r="H8" s="21"/>
      <c r="I8" s="21"/>
      <c r="J8" s="21"/>
      <c r="K8" s="8"/>
      <c r="L8" s="8"/>
      <c r="M8" s="32" t="s">
        <v>49</v>
      </c>
      <c r="N8" s="33" t="s">
        <v>22</v>
      </c>
      <c r="O8" s="107">
        <f>4.8*3</f>
        <v>14.399999999999999</v>
      </c>
      <c r="P8" s="107"/>
      <c r="Q8" s="107"/>
      <c r="R8" s="20" t="s">
        <v>2</v>
      </c>
      <c r="T8" s="3" t="s">
        <v>54</v>
      </c>
      <c r="AL8" s="2"/>
      <c r="AM8" s="2"/>
      <c r="AN8" s="2"/>
      <c r="AO8" s="2"/>
      <c r="AP8" s="29"/>
      <c r="AQ8" s="29"/>
      <c r="AR8" s="29"/>
      <c r="AS8" s="29"/>
      <c r="AT8" s="29"/>
      <c r="AU8" s="29"/>
      <c r="AV8" s="29"/>
      <c r="AW8" s="2"/>
    </row>
    <row r="9" spans="2:66" ht="15" customHeight="1">
      <c r="B9" s="93"/>
      <c r="C9" s="36"/>
      <c r="D9" s="12"/>
      <c r="E9" s="12"/>
      <c r="F9" s="24"/>
      <c r="G9" s="24"/>
      <c r="H9" s="24"/>
      <c r="I9" s="24"/>
      <c r="J9" s="21"/>
      <c r="K9" s="8"/>
      <c r="L9" s="8"/>
      <c r="M9" s="32" t="s">
        <v>50</v>
      </c>
      <c r="N9" s="33" t="s">
        <v>22</v>
      </c>
      <c r="O9" s="107">
        <v>6.7</v>
      </c>
      <c r="P9" s="107"/>
      <c r="Q9" s="107"/>
      <c r="R9" s="3" t="s">
        <v>24</v>
      </c>
      <c r="T9" s="20" t="s">
        <v>55</v>
      </c>
      <c r="AH9" s="82"/>
      <c r="AI9" s="82"/>
      <c r="AJ9" s="82"/>
      <c r="AK9" s="82"/>
      <c r="AL9" s="81" t="s">
        <v>93</v>
      </c>
      <c r="AM9" s="82"/>
      <c r="AN9" s="82"/>
      <c r="AO9" s="82"/>
      <c r="AP9" s="82" t="s">
        <v>95</v>
      </c>
      <c r="AQ9" s="82"/>
      <c r="AR9" s="82"/>
      <c r="AS9" s="82"/>
      <c r="AT9" s="82" t="s">
        <v>102</v>
      </c>
      <c r="AU9" s="82"/>
      <c r="AV9" s="82"/>
      <c r="AW9" s="82" t="s">
        <v>103</v>
      </c>
      <c r="AX9" s="82"/>
      <c r="AY9" s="82"/>
      <c r="BB9" s="72"/>
      <c r="BC9" s="72"/>
      <c r="BD9" s="72"/>
      <c r="BE9" s="72" t="s">
        <v>114</v>
      </c>
      <c r="BF9" s="72"/>
      <c r="BG9" s="72"/>
      <c r="BK9" s="72"/>
      <c r="BL9" s="72"/>
      <c r="BM9" s="72" t="s">
        <v>122</v>
      </c>
      <c r="BN9" s="72"/>
    </row>
    <row r="10" spans="2:66" ht="15" customHeight="1">
      <c r="B10" s="93"/>
      <c r="D10" s="12"/>
      <c r="E10" s="23"/>
      <c r="F10" s="23"/>
      <c r="G10" s="23"/>
      <c r="H10" s="23"/>
      <c r="I10" s="23"/>
      <c r="K10" s="8"/>
      <c r="L10" s="8"/>
      <c r="O10" s="33" t="s">
        <v>65</v>
      </c>
      <c r="P10" s="33" t="s">
        <v>0</v>
      </c>
      <c r="Q10" s="105">
        <v>1.5</v>
      </c>
      <c r="R10" s="105"/>
      <c r="S10" s="105"/>
      <c r="T10" s="3" t="s">
        <v>23</v>
      </c>
      <c r="AH10" s="82" t="s">
        <v>90</v>
      </c>
      <c r="AI10" s="82"/>
      <c r="AJ10" s="82"/>
      <c r="AK10" s="82"/>
      <c r="AL10" s="82" t="s">
        <v>94</v>
      </c>
      <c r="AM10" s="82"/>
      <c r="AN10" s="82"/>
      <c r="AO10" s="82"/>
      <c r="AP10" s="82" t="s">
        <v>96</v>
      </c>
      <c r="AQ10" s="82"/>
      <c r="AR10" s="82"/>
      <c r="AS10" s="82"/>
      <c r="AT10" s="82">
        <v>0.35</v>
      </c>
      <c r="AU10" s="82"/>
      <c r="AV10" s="82"/>
      <c r="AW10" s="80">
        <v>0.65</v>
      </c>
      <c r="AX10" s="80"/>
      <c r="AY10" s="80"/>
      <c r="BB10" s="72" t="s">
        <v>112</v>
      </c>
      <c r="BC10" s="72"/>
      <c r="BD10" s="72"/>
      <c r="BE10" s="72">
        <v>19.5</v>
      </c>
      <c r="BF10" s="72"/>
      <c r="BG10" s="72"/>
      <c r="BK10" s="72" t="s">
        <v>116</v>
      </c>
      <c r="BL10" s="72"/>
      <c r="BM10" s="72">
        <v>1.27</v>
      </c>
      <c r="BN10" s="72"/>
    </row>
    <row r="11" spans="5:66" ht="15" customHeight="1">
      <c r="E11" s="88" t="s">
        <v>26</v>
      </c>
      <c r="F11" s="89"/>
      <c r="G11" s="89"/>
      <c r="H11" s="89"/>
      <c r="I11" s="90"/>
      <c r="M11" s="32" t="s">
        <v>51</v>
      </c>
      <c r="N11" s="33" t="s">
        <v>22</v>
      </c>
      <c r="O11" s="107">
        <v>6.7</v>
      </c>
      <c r="P11" s="107"/>
      <c r="Q11" s="107"/>
      <c r="R11" s="3" t="s">
        <v>24</v>
      </c>
      <c r="T11" s="20" t="s">
        <v>56</v>
      </c>
      <c r="AH11" s="84" t="s">
        <v>91</v>
      </c>
      <c r="AI11" s="84"/>
      <c r="AJ11" s="84"/>
      <c r="AK11" s="84"/>
      <c r="AL11" s="81" t="s">
        <v>97</v>
      </c>
      <c r="AM11" s="82"/>
      <c r="AN11" s="82"/>
      <c r="AO11" s="82"/>
      <c r="AP11" s="82" t="s">
        <v>99</v>
      </c>
      <c r="AQ11" s="82"/>
      <c r="AR11" s="82"/>
      <c r="AS11" s="82"/>
      <c r="AT11" s="82">
        <v>0.65</v>
      </c>
      <c r="AU11" s="82"/>
      <c r="AV11" s="82"/>
      <c r="AW11" s="80">
        <v>1.3</v>
      </c>
      <c r="AX11" s="80"/>
      <c r="AY11" s="80"/>
      <c r="BB11" s="78" t="s">
        <v>113</v>
      </c>
      <c r="BC11" s="72"/>
      <c r="BD11" s="72"/>
      <c r="BE11" s="72">
        <v>21.5</v>
      </c>
      <c r="BF11" s="72"/>
      <c r="BG11" s="72"/>
      <c r="BK11" s="78" t="s">
        <v>117</v>
      </c>
      <c r="BL11" s="72"/>
      <c r="BM11" s="72">
        <v>1.99</v>
      </c>
      <c r="BN11" s="72"/>
    </row>
    <row r="12" spans="4:66" ht="15" customHeight="1">
      <c r="D12" s="108" t="s">
        <v>81</v>
      </c>
      <c r="E12" s="108"/>
      <c r="F12" s="8"/>
      <c r="G12" s="8"/>
      <c r="H12" s="8"/>
      <c r="I12" s="116" t="s">
        <v>82</v>
      </c>
      <c r="J12" s="116"/>
      <c r="M12" s="33" t="s">
        <v>25</v>
      </c>
      <c r="N12" s="33" t="s">
        <v>16</v>
      </c>
      <c r="O12" s="107">
        <v>12.5</v>
      </c>
      <c r="P12" s="107"/>
      <c r="Q12" s="107"/>
      <c r="R12" s="20" t="s">
        <v>6</v>
      </c>
      <c r="T12" s="20" t="s">
        <v>57</v>
      </c>
      <c r="AH12" s="83" t="s">
        <v>92</v>
      </c>
      <c r="AI12" s="84"/>
      <c r="AJ12" s="84"/>
      <c r="AK12" s="84"/>
      <c r="AL12" s="81" t="s">
        <v>98</v>
      </c>
      <c r="AM12" s="82"/>
      <c r="AN12" s="82"/>
      <c r="AO12" s="82"/>
      <c r="AP12" s="82" t="s">
        <v>100</v>
      </c>
      <c r="AQ12" s="82"/>
      <c r="AR12" s="82"/>
      <c r="AS12" s="82"/>
      <c r="AT12" s="82">
        <v>0.75</v>
      </c>
      <c r="AU12" s="82"/>
      <c r="AV12" s="82"/>
      <c r="AW12" s="80">
        <v>1</v>
      </c>
      <c r="AX12" s="80"/>
      <c r="AY12" s="80"/>
      <c r="BK12" s="78" t="s">
        <v>119</v>
      </c>
      <c r="BL12" s="72"/>
      <c r="BM12" s="72">
        <v>2.87</v>
      </c>
      <c r="BN12" s="72"/>
    </row>
    <row r="13" spans="15:66" ht="15" customHeight="1">
      <c r="O13" s="33" t="s">
        <v>66</v>
      </c>
      <c r="P13" s="33" t="s">
        <v>0</v>
      </c>
      <c r="Q13" s="105">
        <v>2.5</v>
      </c>
      <c r="R13" s="105"/>
      <c r="S13" s="105"/>
      <c r="T13" s="3" t="s">
        <v>23</v>
      </c>
      <c r="V13" s="32" t="s">
        <v>83</v>
      </c>
      <c r="W13" s="33" t="s">
        <v>0</v>
      </c>
      <c r="X13" s="125">
        <f>+L-L_2</f>
        <v>3.5</v>
      </c>
      <c r="Y13" s="125"/>
      <c r="Z13" s="125"/>
      <c r="AA13" s="3" t="s">
        <v>84</v>
      </c>
      <c r="BK13" s="78" t="s">
        <v>120</v>
      </c>
      <c r="BL13" s="72"/>
      <c r="BM13" s="72">
        <v>3.87</v>
      </c>
      <c r="BN13" s="72"/>
    </row>
    <row r="14" spans="2:66" ht="15" customHeight="1">
      <c r="B14" s="126" t="s">
        <v>85</v>
      </c>
      <c r="C14" s="37"/>
      <c r="H14" s="20" t="s">
        <v>47</v>
      </c>
      <c r="M14" s="33" t="s">
        <v>52</v>
      </c>
      <c r="N14" s="33" t="s">
        <v>16</v>
      </c>
      <c r="O14" s="77">
        <f>ROUNDUP(24*P5/100*S5/100,2)</f>
        <v>4.32</v>
      </c>
      <c r="P14" s="77"/>
      <c r="Q14" s="77"/>
      <c r="R14" s="20" t="s">
        <v>2</v>
      </c>
      <c r="T14" s="20" t="s">
        <v>62</v>
      </c>
      <c r="BK14" s="78" t="s">
        <v>121</v>
      </c>
      <c r="BL14" s="72"/>
      <c r="BM14" s="72">
        <v>5.07</v>
      </c>
      <c r="BN14" s="72"/>
    </row>
    <row r="15" spans="2:64" ht="15" customHeight="1">
      <c r="B15" s="93"/>
      <c r="C15" s="8"/>
      <c r="F15" s="20"/>
      <c r="G15" s="21"/>
      <c r="H15" s="21"/>
      <c r="I15" s="21"/>
      <c r="J15" s="21"/>
      <c r="K15" s="8"/>
      <c r="O15" s="32" t="s">
        <v>64</v>
      </c>
      <c r="P15" s="33" t="s">
        <v>0</v>
      </c>
      <c r="Q15" s="77">
        <f>+W_1+O14</f>
        <v>18.72</v>
      </c>
      <c r="R15" s="77"/>
      <c r="S15" s="77"/>
      <c r="T15" s="20" t="s">
        <v>2</v>
      </c>
      <c r="BK15" s="51"/>
      <c r="BL15" s="51"/>
    </row>
    <row r="16" spans="2:11" ht="9.75" customHeight="1">
      <c r="B16" s="93"/>
      <c r="C16" s="39"/>
      <c r="D16" s="12"/>
      <c r="E16" s="12"/>
      <c r="F16" s="24"/>
      <c r="G16" s="24"/>
      <c r="H16" s="24"/>
      <c r="I16" s="24"/>
      <c r="J16" s="21"/>
      <c r="K16" s="8"/>
    </row>
    <row r="17" spans="4:19" ht="15" customHeight="1">
      <c r="D17" s="12"/>
      <c r="E17" s="23"/>
      <c r="F17" s="23"/>
      <c r="G17" s="23"/>
      <c r="H17" s="23"/>
      <c r="I17" s="23"/>
      <c r="K17" s="8"/>
      <c r="L17" s="3" t="s">
        <v>63</v>
      </c>
      <c r="M17" s="40"/>
      <c r="N17" s="33"/>
      <c r="O17" s="41"/>
      <c r="P17" s="42"/>
      <c r="Q17" s="42"/>
      <c r="S17" s="20"/>
    </row>
    <row r="18" spans="5:19" ht="15" customHeight="1">
      <c r="E18" s="113" t="s">
        <v>26</v>
      </c>
      <c r="F18" s="114"/>
      <c r="G18" s="114"/>
      <c r="H18" s="114"/>
      <c r="I18" s="115"/>
      <c r="M18" s="43" t="s">
        <v>53</v>
      </c>
      <c r="N18" s="33" t="s">
        <v>17</v>
      </c>
      <c r="O18" s="104">
        <v>4</v>
      </c>
      <c r="P18" s="104"/>
      <c r="Q18" s="3" t="s">
        <v>18</v>
      </c>
      <c r="S18" s="20"/>
    </row>
    <row r="19" spans="4:52" ht="15" customHeight="1" thickBot="1">
      <c r="D19" s="108" t="s">
        <v>81</v>
      </c>
      <c r="E19" s="108"/>
      <c r="F19" s="8"/>
      <c r="G19" s="8"/>
      <c r="H19" s="8"/>
      <c r="I19" s="116" t="s">
        <v>82</v>
      </c>
      <c r="J19" s="116"/>
      <c r="M19" s="34" t="s">
        <v>27</v>
      </c>
      <c r="N19" s="33" t="s">
        <v>28</v>
      </c>
      <c r="O19" s="111">
        <v>21</v>
      </c>
      <c r="P19" s="111"/>
      <c r="Q19" s="112" t="s">
        <v>29</v>
      </c>
      <c r="R19" s="112"/>
      <c r="S19" s="20" t="s">
        <v>7</v>
      </c>
      <c r="AI19" s="121" t="s">
        <v>11</v>
      </c>
      <c r="AJ19" s="121"/>
      <c r="AK19" s="121"/>
      <c r="AL19" s="121"/>
      <c r="AM19" s="121"/>
      <c r="AN19" s="2"/>
      <c r="AO19" s="2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"/>
    </row>
    <row r="20" spans="6:60" ht="15" customHeight="1" thickTop="1">
      <c r="F20" s="20"/>
      <c r="G20" s="21"/>
      <c r="H20" s="20" t="s">
        <v>67</v>
      </c>
      <c r="I20" s="21"/>
      <c r="J20" s="21"/>
      <c r="K20" s="8"/>
      <c r="M20" s="94" t="s">
        <v>111</v>
      </c>
      <c r="N20" s="94"/>
      <c r="O20" s="94"/>
      <c r="P20" s="95" t="s">
        <v>127</v>
      </c>
      <c r="Q20" s="95"/>
      <c r="R20" s="95"/>
      <c r="S20" s="79" t="s">
        <v>115</v>
      </c>
      <c r="T20" s="73"/>
      <c r="U20" s="73"/>
      <c r="V20" s="73">
        <f>VLOOKUP(P20,BB10:BG11,4,FALSE)</f>
        <v>21.5</v>
      </c>
      <c r="W20" s="73"/>
      <c r="X20" s="3" t="s">
        <v>4</v>
      </c>
      <c r="AH20" s="4"/>
      <c r="AI20" s="121"/>
      <c r="AJ20" s="121"/>
      <c r="AK20" s="121"/>
      <c r="AL20" s="121"/>
      <c r="AM20" s="121"/>
      <c r="AN20" s="46"/>
      <c r="AO20" s="46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6"/>
      <c r="BA20" s="5"/>
      <c r="BB20" s="5"/>
      <c r="BC20" s="5"/>
      <c r="BD20" s="5"/>
      <c r="BE20" s="5"/>
      <c r="BF20" s="5"/>
      <c r="BG20" s="5"/>
      <c r="BH20" s="6"/>
    </row>
    <row r="21" spans="6:60" ht="15" customHeight="1">
      <c r="F21" s="20"/>
      <c r="G21" s="21"/>
      <c r="I21" s="21"/>
      <c r="J21" s="21"/>
      <c r="K21" s="8"/>
      <c r="AH21" s="7"/>
      <c r="AI21" s="49"/>
      <c r="AJ21" s="12"/>
      <c r="AK21" s="12"/>
      <c r="AL21" s="12"/>
      <c r="AM21" s="12"/>
      <c r="AN21" s="12"/>
      <c r="AO21" s="12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2"/>
      <c r="BA21" s="8"/>
      <c r="BB21" s="8"/>
      <c r="BC21" s="8"/>
      <c r="BD21" s="8"/>
      <c r="BE21" s="8"/>
      <c r="BF21" s="8"/>
      <c r="BG21" s="8"/>
      <c r="BH21" s="9"/>
    </row>
    <row r="22" spans="4:60" ht="15" customHeight="1">
      <c r="D22" s="12"/>
      <c r="E22" s="12"/>
      <c r="F22" s="24"/>
      <c r="G22" s="24"/>
      <c r="H22" s="24"/>
      <c r="I22" s="24"/>
      <c r="J22" s="21"/>
      <c r="K22" s="8"/>
      <c r="L22" s="40" t="s">
        <v>72</v>
      </c>
      <c r="AE22" s="44"/>
      <c r="AH22" s="7"/>
      <c r="AI22" s="50" t="s">
        <v>12</v>
      </c>
      <c r="AJ22" s="12"/>
      <c r="AK22" s="12"/>
      <c r="AL22" s="12"/>
      <c r="AM22" s="12"/>
      <c r="AN22" s="12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2"/>
      <c r="AZ22" s="8"/>
      <c r="BA22" s="8"/>
      <c r="BB22" s="8"/>
      <c r="BC22" s="8"/>
      <c r="BD22" s="8"/>
      <c r="BE22" s="8"/>
      <c r="BF22" s="8"/>
      <c r="BG22" s="8"/>
      <c r="BH22" s="9"/>
    </row>
    <row r="23" spans="4:60" ht="15" customHeight="1">
      <c r="D23" s="12"/>
      <c r="E23" s="23"/>
      <c r="F23" s="23"/>
      <c r="G23" s="23"/>
      <c r="H23" s="23"/>
      <c r="I23" s="23"/>
      <c r="K23" s="8"/>
      <c r="L23" s="82" t="s">
        <v>70</v>
      </c>
      <c r="M23" s="82"/>
      <c r="N23" s="82"/>
      <c r="O23" s="85" t="s">
        <v>68</v>
      </c>
      <c r="P23" s="86"/>
      <c r="Q23" s="86"/>
      <c r="R23" s="87"/>
      <c r="S23" s="100" t="s">
        <v>79</v>
      </c>
      <c r="T23" s="101"/>
      <c r="U23" s="101"/>
      <c r="V23" s="102"/>
      <c r="W23" s="100" t="s">
        <v>80</v>
      </c>
      <c r="X23" s="101"/>
      <c r="Y23" s="101"/>
      <c r="Z23" s="102"/>
      <c r="AA23" s="100" t="s">
        <v>69</v>
      </c>
      <c r="AB23" s="101"/>
      <c r="AC23" s="101"/>
      <c r="AD23" s="102"/>
      <c r="AE23" s="8"/>
      <c r="AH23" s="7"/>
      <c r="AI23" s="12"/>
      <c r="AJ23" s="12"/>
      <c r="AK23" s="12"/>
      <c r="AL23" s="12"/>
      <c r="AM23" s="12"/>
      <c r="AN23" s="12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2"/>
      <c r="AZ23" s="8"/>
      <c r="BA23" s="8"/>
      <c r="BB23" s="8"/>
      <c r="BC23" s="8"/>
      <c r="BD23" s="8"/>
      <c r="BE23" s="8"/>
      <c r="BF23" s="8"/>
      <c r="BG23" s="8"/>
      <c r="BH23" s="9"/>
    </row>
    <row r="24" spans="4:60" ht="15" customHeight="1">
      <c r="D24" s="12"/>
      <c r="E24" s="25"/>
      <c r="F24" s="26" t="s">
        <v>66</v>
      </c>
      <c r="G24" s="27"/>
      <c r="H24" s="113" t="s">
        <v>83</v>
      </c>
      <c r="I24" s="115"/>
      <c r="K24" s="8"/>
      <c r="L24" s="81" t="s">
        <v>71</v>
      </c>
      <c r="M24" s="82"/>
      <c r="N24" s="82"/>
      <c r="O24" s="98">
        <f>1/8*W*L^2</f>
        <v>84.24</v>
      </c>
      <c r="P24" s="99"/>
      <c r="Q24" s="99"/>
      <c r="R24" s="45"/>
      <c r="S24" s="91">
        <f>1/12*W*L^2</f>
        <v>56.16</v>
      </c>
      <c r="T24" s="92"/>
      <c r="U24" s="92"/>
      <c r="V24" s="45"/>
      <c r="W24" s="123">
        <f>1/12*W*L^2</f>
        <v>56.16</v>
      </c>
      <c r="X24" s="124"/>
      <c r="Y24" s="124"/>
      <c r="Z24" s="45"/>
      <c r="AA24" s="123">
        <f>1/2*W*L</f>
        <v>56.16</v>
      </c>
      <c r="AB24" s="124"/>
      <c r="AC24" s="124"/>
      <c r="AD24" s="45"/>
      <c r="AE24" s="8"/>
      <c r="AH24" s="7"/>
      <c r="AI24" s="8"/>
      <c r="AJ24" s="10" t="s">
        <v>19</v>
      </c>
      <c r="AK24" s="122" t="s">
        <v>20</v>
      </c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8"/>
      <c r="AW24" s="12"/>
      <c r="AX24" s="8"/>
      <c r="AY24" s="11" t="s">
        <v>13</v>
      </c>
      <c r="AZ24" s="8"/>
      <c r="BA24" s="8"/>
      <c r="BB24" s="8"/>
      <c r="BC24" s="8"/>
      <c r="BD24" s="8"/>
      <c r="BE24" s="8"/>
      <c r="BF24" s="8"/>
      <c r="BG24" s="8"/>
      <c r="BH24" s="9"/>
    </row>
    <row r="25" spans="5:60" ht="15" customHeight="1">
      <c r="E25" s="88" t="s">
        <v>26</v>
      </c>
      <c r="F25" s="89"/>
      <c r="G25" s="89"/>
      <c r="H25" s="89"/>
      <c r="I25" s="90"/>
      <c r="L25" s="81" t="s">
        <v>50</v>
      </c>
      <c r="M25" s="82"/>
      <c r="N25" s="82"/>
      <c r="O25" s="98">
        <f>+W_2*L_1/24*(3*L^2-4*L_1^2)</f>
        <v>41.456250000000004</v>
      </c>
      <c r="P25" s="99"/>
      <c r="Q25" s="99"/>
      <c r="R25" s="45"/>
      <c r="S25" s="91">
        <f>+W_2*L_1/12*(L^2-2*L_1^2+L_1^3/L)</f>
        <v>26.85234375</v>
      </c>
      <c r="T25" s="92"/>
      <c r="U25" s="92"/>
      <c r="V25" s="45"/>
      <c r="W25" s="123">
        <f>+W_2*L_1/12*(L^2-2*L_1^2+L_1^3/L)</f>
        <v>26.85234375</v>
      </c>
      <c r="X25" s="124"/>
      <c r="Y25" s="124"/>
      <c r="Z25" s="45"/>
      <c r="AA25" s="91">
        <f>W_2*L_1*(L-L_1)/2</f>
        <v>22.6125</v>
      </c>
      <c r="AB25" s="92"/>
      <c r="AC25" s="92"/>
      <c r="AD25" s="45"/>
      <c r="AE25" s="8"/>
      <c r="AH25" s="7"/>
      <c r="AI25" s="8"/>
      <c r="AJ25" s="8"/>
      <c r="AK25" s="8"/>
      <c r="AL25" s="8"/>
      <c r="AM25" s="8"/>
      <c r="AN25" s="8"/>
      <c r="AO25" s="12"/>
      <c r="AP25" s="12"/>
      <c r="AQ25" s="12"/>
      <c r="AR25" s="12"/>
      <c r="AS25" s="12"/>
      <c r="AT25" s="12"/>
      <c r="AU25" s="12"/>
      <c r="AV25" s="12"/>
      <c r="AW25" s="12"/>
      <c r="AX25" s="8"/>
      <c r="AY25" s="12"/>
      <c r="AZ25" s="8"/>
      <c r="BA25" s="8"/>
      <c r="BB25" s="8"/>
      <c r="BC25" s="8"/>
      <c r="BD25" s="8"/>
      <c r="BE25" s="8"/>
      <c r="BF25" s="8"/>
      <c r="BG25" s="8"/>
      <c r="BH25" s="9"/>
    </row>
    <row r="26" spans="4:60" ht="15" customHeight="1">
      <c r="D26" s="108" t="s">
        <v>81</v>
      </c>
      <c r="E26" s="108"/>
      <c r="F26" s="8"/>
      <c r="G26" s="8"/>
      <c r="H26" s="8"/>
      <c r="I26" s="116" t="s">
        <v>82</v>
      </c>
      <c r="J26" s="116"/>
      <c r="L26" s="81" t="s">
        <v>51</v>
      </c>
      <c r="M26" s="82"/>
      <c r="N26" s="82"/>
      <c r="O26" s="98">
        <f>+W_3*L/2*L^2/12</f>
        <v>60.300000000000004</v>
      </c>
      <c r="P26" s="99"/>
      <c r="Q26" s="99"/>
      <c r="R26" s="45"/>
      <c r="S26" s="91">
        <f>+W_3*L/2*L^2/32</f>
        <v>22.6125</v>
      </c>
      <c r="T26" s="92"/>
      <c r="U26" s="92"/>
      <c r="V26" s="45"/>
      <c r="W26" s="123">
        <f>+W_3*L/2*L^2/32</f>
        <v>22.6125</v>
      </c>
      <c r="X26" s="124"/>
      <c r="Y26" s="124"/>
      <c r="Z26" s="45"/>
      <c r="AA26" s="98">
        <f>+W_3*L/2*L/4</f>
        <v>30.150000000000002</v>
      </c>
      <c r="AB26" s="99"/>
      <c r="AC26" s="99"/>
      <c r="AD26" s="45"/>
      <c r="AE26" s="8"/>
      <c r="AH26" s="7"/>
      <c r="AI26" s="8"/>
      <c r="AJ26" s="8"/>
      <c r="AK26" s="8"/>
      <c r="AL26" s="8"/>
      <c r="AM26" s="8"/>
      <c r="AN26" s="8"/>
      <c r="AO26" s="12"/>
      <c r="AP26" s="12"/>
      <c r="AQ26" s="12"/>
      <c r="AR26" s="12"/>
      <c r="AS26" s="12"/>
      <c r="AT26" s="12"/>
      <c r="AU26" s="12"/>
      <c r="AV26" s="12"/>
      <c r="AW26" s="12"/>
      <c r="AX26" s="8"/>
      <c r="AY26" s="12"/>
      <c r="AZ26" s="8"/>
      <c r="BA26" s="8"/>
      <c r="BB26" s="8"/>
      <c r="BC26" s="8"/>
      <c r="BD26" s="8"/>
      <c r="BE26" s="8"/>
      <c r="BF26" s="8"/>
      <c r="BG26" s="8"/>
      <c r="BH26" s="9"/>
    </row>
    <row r="27" spans="12:60" ht="15" customHeight="1">
      <c r="L27" s="82" t="s">
        <v>21</v>
      </c>
      <c r="M27" s="82"/>
      <c r="N27" s="82"/>
      <c r="O27" s="98">
        <f>+P*L_2*(L-L_2)/L</f>
        <v>18.229166666666668</v>
      </c>
      <c r="P27" s="99"/>
      <c r="Q27" s="99"/>
      <c r="R27" s="45"/>
      <c r="S27" s="91">
        <f>+P*L_2^2*L_3/L^2</f>
        <v>7.595486111111111</v>
      </c>
      <c r="T27" s="92"/>
      <c r="U27" s="92"/>
      <c r="V27" s="45"/>
      <c r="W27" s="91">
        <f>+P*L_2*L_3^2/L^2</f>
        <v>10.633680555555555</v>
      </c>
      <c r="X27" s="92"/>
      <c r="Y27" s="92"/>
      <c r="Z27" s="45"/>
      <c r="AA27" s="123">
        <f>+P*MAX(L_2,L_3)/L</f>
        <v>7.291666666666667</v>
      </c>
      <c r="AB27" s="124"/>
      <c r="AC27" s="124"/>
      <c r="AD27" s="45"/>
      <c r="AE27" s="8"/>
      <c r="AH27" s="7"/>
      <c r="AI27" s="8"/>
      <c r="AJ27" s="10" t="s">
        <v>14</v>
      </c>
      <c r="AK27" s="28" t="s">
        <v>126</v>
      </c>
      <c r="AL27" s="28"/>
      <c r="AM27" s="28"/>
      <c r="AN27" s="28"/>
      <c r="AO27" s="28"/>
      <c r="AP27" s="28"/>
      <c r="AQ27" s="28"/>
      <c r="AR27" s="28"/>
      <c r="AS27" s="28"/>
      <c r="AT27" s="28"/>
      <c r="AU27" s="60"/>
      <c r="AV27" s="60"/>
      <c r="AW27" s="8"/>
      <c r="AX27" s="8"/>
      <c r="AY27" s="11" t="s">
        <v>181</v>
      </c>
      <c r="AZ27" s="8"/>
      <c r="BA27" s="8"/>
      <c r="BB27" s="8"/>
      <c r="BC27" s="8"/>
      <c r="BD27" s="8"/>
      <c r="BE27" s="8"/>
      <c r="BF27" s="8"/>
      <c r="BG27" s="8"/>
      <c r="BH27" s="9"/>
    </row>
    <row r="28" spans="3:60" ht="15" customHeight="1">
      <c r="C28" s="40"/>
      <c r="L28" s="82" t="s">
        <v>73</v>
      </c>
      <c r="M28" s="82"/>
      <c r="N28" s="82"/>
      <c r="O28" s="98">
        <f>ROUNDUP(SUM(O24:Q27),2)</f>
        <v>204.23</v>
      </c>
      <c r="P28" s="99"/>
      <c r="Q28" s="99"/>
      <c r="R28" s="45"/>
      <c r="S28" s="98">
        <f>ROUNDUP(SUM(S24:U27),2)</f>
        <v>113.23</v>
      </c>
      <c r="T28" s="103"/>
      <c r="U28" s="103"/>
      <c r="V28" s="45"/>
      <c r="W28" s="96">
        <f>ROUNDUP(SUM(W24:Y27),2)</f>
        <v>116.26</v>
      </c>
      <c r="X28" s="97"/>
      <c r="Y28" s="97"/>
      <c r="Z28" s="45"/>
      <c r="AA28" s="96">
        <f>ROUNDUP(SUM(AA24:AC27),2)</f>
        <v>116.22</v>
      </c>
      <c r="AB28" s="97"/>
      <c r="AC28" s="97"/>
      <c r="AD28" s="45"/>
      <c r="AH28" s="7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9"/>
    </row>
    <row r="29" spans="3:60" ht="15" customHeight="1">
      <c r="C29" s="40"/>
      <c r="W29" s="23"/>
      <c r="X29" s="23"/>
      <c r="Y29" s="23"/>
      <c r="AH29" s="7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9"/>
    </row>
    <row r="30" spans="3:60" ht="15" customHeight="1">
      <c r="C30" s="40" t="s">
        <v>74</v>
      </c>
      <c r="J30" s="20" t="s">
        <v>78</v>
      </c>
      <c r="AH30" s="7"/>
      <c r="AI30" s="8"/>
      <c r="AJ30" s="10" t="s">
        <v>14</v>
      </c>
      <c r="AK30" s="118" t="s">
        <v>43</v>
      </c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8"/>
      <c r="AX30" s="8"/>
      <c r="AY30" s="11" t="s">
        <v>182</v>
      </c>
      <c r="AZ30" s="8"/>
      <c r="BA30" s="8"/>
      <c r="BB30" s="8"/>
      <c r="BC30" s="8"/>
      <c r="BD30" s="8"/>
      <c r="BE30" s="8"/>
      <c r="BF30" s="8"/>
      <c r="BG30" s="8"/>
      <c r="BH30" s="9"/>
    </row>
    <row r="31" spans="3:60" ht="15" customHeight="1">
      <c r="C31" s="40"/>
      <c r="D31" s="3" t="s">
        <v>75</v>
      </c>
      <c r="H31" s="38" t="s">
        <v>106</v>
      </c>
      <c r="I31" s="33" t="s">
        <v>0</v>
      </c>
      <c r="J31" s="79" t="str">
        <f>VLOOKUP(Z4,AH10:AY12,5,FALSE)</f>
        <v>M0-0.35･C</v>
      </c>
      <c r="K31" s="73"/>
      <c r="L31" s="73"/>
      <c r="M31" s="73"/>
      <c r="N31" s="33" t="s">
        <v>0</v>
      </c>
      <c r="O31" s="77">
        <f>+O28</f>
        <v>204.23</v>
      </c>
      <c r="P31" s="73"/>
      <c r="Q31" s="73"/>
      <c r="R31" s="33" t="s">
        <v>101</v>
      </c>
      <c r="S31" s="73">
        <f>VLOOKUP(Z4,AH10:AY12,13,FALSE)</f>
        <v>0.35</v>
      </c>
      <c r="T31" s="73"/>
      <c r="U31" s="38" t="s">
        <v>60</v>
      </c>
      <c r="V31" s="77">
        <f>MIN(S28:Z28)</f>
        <v>113.23</v>
      </c>
      <c r="W31" s="73"/>
      <c r="X31" s="73"/>
      <c r="Y31" s="38" t="s">
        <v>0</v>
      </c>
      <c r="Z31" s="77">
        <f>ROUNDUP(+O31-S31*V31,2)</f>
        <v>164.6</v>
      </c>
      <c r="AA31" s="73"/>
      <c r="AB31" s="73"/>
      <c r="AC31" s="3" t="s">
        <v>77</v>
      </c>
      <c r="AH31" s="7"/>
      <c r="BF31" s="8"/>
      <c r="BG31" s="8"/>
      <c r="BH31" s="9"/>
    </row>
    <row r="32" spans="3:60" ht="15" customHeight="1">
      <c r="C32" s="40"/>
      <c r="D32" s="3" t="s">
        <v>76</v>
      </c>
      <c r="H32" s="57" t="s">
        <v>107</v>
      </c>
      <c r="I32" s="33" t="s">
        <v>0</v>
      </c>
      <c r="J32" s="73" t="str">
        <f>VLOOKUP(Z4,AH10:AY12,9,FALSE)</f>
        <v>0.65･C</v>
      </c>
      <c r="K32" s="73"/>
      <c r="L32" s="73"/>
      <c r="M32" s="73"/>
      <c r="N32" s="33" t="s">
        <v>0</v>
      </c>
      <c r="O32" s="77">
        <f>VLOOKUP(Z4,AH10:AY12,16,FALSE)</f>
        <v>0.65</v>
      </c>
      <c r="P32" s="77"/>
      <c r="Q32" s="48" t="s">
        <v>60</v>
      </c>
      <c r="R32" s="77">
        <f>MAX(S28:Z28)</f>
        <v>116.26</v>
      </c>
      <c r="S32" s="77"/>
      <c r="T32" s="77"/>
      <c r="X32" s="33"/>
      <c r="Y32" s="38" t="s">
        <v>0</v>
      </c>
      <c r="Z32" s="77">
        <f>ROUNDUP(+O32*R32,2)</f>
        <v>75.57000000000001</v>
      </c>
      <c r="AA32" s="73"/>
      <c r="AB32" s="73"/>
      <c r="AC32" s="3" t="s">
        <v>77</v>
      </c>
      <c r="AH32" s="7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9"/>
    </row>
    <row r="33" spans="3:60" ht="15" customHeight="1">
      <c r="C33" s="3" t="s">
        <v>104</v>
      </c>
      <c r="E33" s="33"/>
      <c r="F33" s="48"/>
      <c r="G33" s="48"/>
      <c r="H33" s="38" t="s">
        <v>105</v>
      </c>
      <c r="I33" s="33" t="s">
        <v>0</v>
      </c>
      <c r="J33" s="77">
        <f>+AA28</f>
        <v>116.22</v>
      </c>
      <c r="K33" s="73"/>
      <c r="L33" s="73"/>
      <c r="M33" s="3" t="s">
        <v>6</v>
      </c>
      <c r="AH33" s="7"/>
      <c r="AI33" s="12"/>
      <c r="AJ33" s="10" t="s">
        <v>14</v>
      </c>
      <c r="AK33" s="117" t="s">
        <v>44</v>
      </c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3"/>
      <c r="AY33" s="11" t="s">
        <v>182</v>
      </c>
      <c r="AZ33" s="12"/>
      <c r="BA33" s="12"/>
      <c r="BB33" s="12"/>
      <c r="BC33" s="12"/>
      <c r="BD33" s="12"/>
      <c r="BE33" s="12"/>
      <c r="BF33" s="12"/>
      <c r="BG33" s="8"/>
      <c r="BH33" s="9"/>
    </row>
    <row r="34" spans="34:60" ht="15" customHeight="1">
      <c r="AH34" s="7"/>
      <c r="BG34" s="8"/>
      <c r="BH34" s="9"/>
    </row>
    <row r="35" spans="3:60" ht="15" customHeight="1">
      <c r="C35" s="40" t="s">
        <v>108</v>
      </c>
      <c r="D35" s="20"/>
      <c r="AH35" s="7"/>
      <c r="BG35" s="8"/>
      <c r="BH35" s="9"/>
    </row>
    <row r="36" spans="4:60" ht="15" customHeight="1">
      <c r="D36" s="32" t="s">
        <v>31</v>
      </c>
      <c r="E36" s="33" t="s">
        <v>32</v>
      </c>
      <c r="F36" s="120" t="str">
        <f>" 7/8 × ( "&amp;TEXT(D,"0.0")&amp;" - "&amp;TEXT(dt,"0.0")&amp;" )"</f>
        <v> 7/8 × ( 60.0 - 4.0 )</v>
      </c>
      <c r="G36" s="120"/>
      <c r="H36" s="120"/>
      <c r="I36" s="120"/>
      <c r="J36" s="120"/>
      <c r="K36" s="120"/>
      <c r="L36" s="120"/>
      <c r="M36" s="120"/>
      <c r="N36" s="33" t="s">
        <v>32</v>
      </c>
      <c r="O36" s="77">
        <f>ROUNDDOWN(7/8*(D-dt),2)</f>
        <v>49</v>
      </c>
      <c r="P36" s="77"/>
      <c r="Q36" s="77"/>
      <c r="R36" s="3" t="s">
        <v>33</v>
      </c>
      <c r="AH36" s="7"/>
      <c r="AI36" s="12"/>
      <c r="AJ36" s="10" t="s">
        <v>14</v>
      </c>
      <c r="AK36" s="117" t="s">
        <v>15</v>
      </c>
      <c r="AL36" s="117"/>
      <c r="AM36" s="117"/>
      <c r="AN36" s="117"/>
      <c r="AO36" s="117"/>
      <c r="AP36" s="117"/>
      <c r="AQ36" s="117"/>
      <c r="AR36" s="117"/>
      <c r="AS36" s="117"/>
      <c r="AT36" s="117"/>
      <c r="AU36" s="13"/>
      <c r="AV36" s="13"/>
      <c r="AW36" s="13"/>
      <c r="AX36" s="13"/>
      <c r="AY36" s="11" t="s">
        <v>183</v>
      </c>
      <c r="AZ36" s="12"/>
      <c r="BA36" s="12"/>
      <c r="BB36" s="12"/>
      <c r="BC36" s="12"/>
      <c r="BD36" s="12"/>
      <c r="BE36" s="12"/>
      <c r="BF36" s="12"/>
      <c r="BG36" s="8"/>
      <c r="BH36" s="9"/>
    </row>
    <row r="37" spans="3:60" ht="15" customHeight="1">
      <c r="C37" s="3" t="s">
        <v>109</v>
      </c>
      <c r="U37" s="3" t="s">
        <v>4</v>
      </c>
      <c r="AH37" s="7"/>
      <c r="AI37" s="8"/>
      <c r="AJ37" s="8"/>
      <c r="AK37" s="8"/>
      <c r="AL37" s="12"/>
      <c r="AM37" s="12"/>
      <c r="AN37" s="12"/>
      <c r="AO37" s="12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2"/>
      <c r="BA37" s="12"/>
      <c r="BB37" s="12"/>
      <c r="BC37" s="12"/>
      <c r="BD37" s="12"/>
      <c r="BE37" s="12"/>
      <c r="BF37" s="12"/>
      <c r="BG37" s="12"/>
      <c r="BH37" s="9"/>
    </row>
    <row r="38" spans="4:60" ht="15" customHeight="1" thickBot="1">
      <c r="D38" s="33" t="s">
        <v>34</v>
      </c>
      <c r="E38" s="33" t="s">
        <v>32</v>
      </c>
      <c r="F38" s="3" t="str">
        <f>" "&amp;TEXT(M_1,"0.00")&amp;" × "&amp;" × 100 / "&amp;TEXT(ft,"0.0")&amp;" / "&amp;TEXT(J,"0.00")</f>
        <v> 164.60 ×  × 100 / 21.5 / 49.00</v>
      </c>
      <c r="AH38" s="14"/>
      <c r="AI38" s="15"/>
      <c r="AJ38" s="16"/>
      <c r="AK38" s="16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8"/>
    </row>
    <row r="39" spans="4:60" ht="15" customHeight="1" thickTop="1">
      <c r="D39" s="20"/>
      <c r="E39" s="33" t="s">
        <v>30</v>
      </c>
      <c r="F39" s="74">
        <f>ROUNDUP(M_1*100/ft/J,2)</f>
        <v>15.629999999999999</v>
      </c>
      <c r="G39" s="74"/>
      <c r="H39" s="74"/>
      <c r="I39" s="20" t="s">
        <v>35</v>
      </c>
      <c r="K39" s="33" t="s">
        <v>36</v>
      </c>
      <c r="L39" s="59">
        <v>6</v>
      </c>
      <c r="M39" s="58" t="s">
        <v>101</v>
      </c>
      <c r="N39" s="75" t="s">
        <v>118</v>
      </c>
      <c r="O39" s="75"/>
      <c r="P39" s="34" t="s">
        <v>3</v>
      </c>
      <c r="Q39" s="73">
        <f>VLOOKUP(N39,$BK$10:$BN$14,3,FALSE)*L39</f>
        <v>17.22</v>
      </c>
      <c r="R39" s="73"/>
      <c r="S39" s="73"/>
      <c r="T39" s="20" t="s">
        <v>124</v>
      </c>
      <c r="W39" s="76" t="s">
        <v>5</v>
      </c>
      <c r="X39" s="76"/>
      <c r="Y39" s="34" t="s">
        <v>3</v>
      </c>
      <c r="Z39" s="77">
        <f>+F39/Q39</f>
        <v>0.9076655052264808</v>
      </c>
      <c r="AA39" s="77"/>
      <c r="AB39" s="3" t="s">
        <v>4</v>
      </c>
      <c r="AH39" s="8"/>
      <c r="AI39" s="11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</row>
    <row r="40" ht="15" customHeight="1">
      <c r="C40" s="3" t="s">
        <v>123</v>
      </c>
    </row>
    <row r="41" spans="4:6" ht="15" customHeight="1">
      <c r="D41" s="33" t="s">
        <v>34</v>
      </c>
      <c r="E41" s="33" t="s">
        <v>32</v>
      </c>
      <c r="F41" s="3" t="str">
        <f>" "&amp;TEXT(M_2,"0.00")&amp;" × "&amp;" × 100 / "&amp;TEXT(ft,"0.0")&amp;" / "&amp;TEXT(J,"0.00")</f>
        <v> 75.57 ×  × 100 / 21.5 / 49.00</v>
      </c>
    </row>
    <row r="42" spans="4:28" ht="15" customHeight="1">
      <c r="D42" s="20"/>
      <c r="E42" s="33" t="s">
        <v>30</v>
      </c>
      <c r="F42" s="74">
        <f>ROUNDUP(M_2*100/ft/J,2)</f>
        <v>7.18</v>
      </c>
      <c r="G42" s="74"/>
      <c r="H42" s="74"/>
      <c r="I42" s="20" t="s">
        <v>35</v>
      </c>
      <c r="K42" s="33" t="s">
        <v>36</v>
      </c>
      <c r="L42" s="59">
        <v>4</v>
      </c>
      <c r="M42" s="58" t="s">
        <v>101</v>
      </c>
      <c r="N42" s="75" t="s">
        <v>118</v>
      </c>
      <c r="O42" s="75"/>
      <c r="P42" s="34" t="s">
        <v>3</v>
      </c>
      <c r="Q42" s="73">
        <f>VLOOKUP(N42,$BK$10:$BN$14,3,FALSE)*L42</f>
        <v>11.48</v>
      </c>
      <c r="R42" s="73"/>
      <c r="S42" s="73"/>
      <c r="T42" s="20" t="s">
        <v>124</v>
      </c>
      <c r="W42" s="76" t="s">
        <v>5</v>
      </c>
      <c r="X42" s="76"/>
      <c r="Y42" s="34" t="s">
        <v>3</v>
      </c>
      <c r="Z42" s="77">
        <f>+F42/Q42</f>
        <v>0.6254355400696864</v>
      </c>
      <c r="AA42" s="77"/>
      <c r="AB42" s="3" t="s">
        <v>4</v>
      </c>
    </row>
    <row r="44" ht="15" customHeight="1">
      <c r="C44" s="40" t="s">
        <v>110</v>
      </c>
    </row>
    <row r="45" spans="4:6" ht="15" customHeight="1">
      <c r="D45" s="33" t="s">
        <v>37</v>
      </c>
      <c r="E45" s="33" t="s">
        <v>38</v>
      </c>
      <c r="F45" s="20" t="str">
        <f>" "&amp;TEXT(Q,"0.00")&amp;"×"&amp;" / ( 100 × "&amp;TEXT(J,"0.00")&amp;" )"</f>
        <v> 116.22× / ( 100 × 49.00 )</v>
      </c>
    </row>
    <row r="46" spans="5:28" ht="15" customHeight="1">
      <c r="E46" s="33" t="s">
        <v>38</v>
      </c>
      <c r="F46" s="73">
        <f>ROUNDUP(Q/100/J,3)</f>
        <v>0.024</v>
      </c>
      <c r="G46" s="73"/>
      <c r="H46" s="73"/>
      <c r="I46" s="119" t="s">
        <v>39</v>
      </c>
      <c r="J46" s="119"/>
      <c r="K46" s="33" t="s">
        <v>40</v>
      </c>
      <c r="L46" s="77">
        <f>+Fc/300</f>
        <v>0.07</v>
      </c>
      <c r="M46" s="77"/>
      <c r="N46" s="119" t="s">
        <v>39</v>
      </c>
      <c r="O46" s="119"/>
      <c r="S46" s="76" t="s">
        <v>5</v>
      </c>
      <c r="T46" s="76"/>
      <c r="U46" s="34" t="s">
        <v>41</v>
      </c>
      <c r="V46" s="77">
        <f>+F46/L46</f>
        <v>0.3428571428571428</v>
      </c>
      <c r="W46" s="77"/>
      <c r="X46" s="3" t="s">
        <v>42</v>
      </c>
      <c r="AB46" s="2"/>
    </row>
    <row r="47" ht="15" customHeight="1">
      <c r="AC47" s="2"/>
    </row>
    <row r="48" spans="27:29" ht="15" customHeight="1">
      <c r="AA48" s="2"/>
      <c r="AB48" s="2"/>
      <c r="AC48" s="2"/>
    </row>
    <row r="49" spans="27:29" ht="15" customHeight="1">
      <c r="AA49" s="2"/>
      <c r="AB49" s="2"/>
      <c r="AC49" s="2"/>
    </row>
    <row r="50" spans="27:29" ht="15" customHeight="1">
      <c r="AA50" s="54"/>
      <c r="AB50" s="55"/>
      <c r="AC50" s="55"/>
    </row>
    <row r="51" ht="15" customHeight="1">
      <c r="AC51" s="2"/>
    </row>
    <row r="52" spans="29:61" ht="15" customHeight="1">
      <c r="AC52" s="55"/>
      <c r="AG52" s="8"/>
      <c r="BI52" s="8"/>
    </row>
    <row r="53" ht="15" customHeight="1">
      <c r="AC53" s="2"/>
    </row>
    <row r="54" ht="15" customHeight="1">
      <c r="AC54" s="55"/>
    </row>
    <row r="55" ht="15" customHeight="1">
      <c r="AC55" s="2"/>
    </row>
    <row r="58" spans="62:69" ht="15" customHeight="1">
      <c r="BJ58" s="8"/>
      <c r="BK58" s="8"/>
      <c r="BL58" s="8"/>
      <c r="BM58" s="8"/>
      <c r="BN58" s="8"/>
      <c r="BO58" s="8"/>
      <c r="BP58" s="8"/>
      <c r="BQ58" s="8"/>
    </row>
    <row r="59" spans="33:69" ht="15" customHeight="1">
      <c r="AG59" s="8"/>
      <c r="BI59" s="8"/>
      <c r="BJ59" s="8"/>
      <c r="BK59" s="8"/>
      <c r="BL59" s="8"/>
      <c r="BM59" s="8"/>
      <c r="BN59" s="8"/>
      <c r="BO59" s="8"/>
      <c r="BP59" s="8"/>
      <c r="BQ59" s="8"/>
    </row>
    <row r="63" spans="8:27" ht="15" customHeight="1"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5:27" ht="15" customHeight="1">
      <c r="E64" s="3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5:27" ht="15" customHeight="1">
      <c r="E65" s="33"/>
      <c r="F65" s="76"/>
      <c r="G65" s="76"/>
      <c r="H65" s="2"/>
      <c r="I65" s="52"/>
      <c r="J65" s="56"/>
      <c r="K65" s="56"/>
      <c r="L65" s="2"/>
      <c r="M65" s="53"/>
      <c r="N65" s="53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8:27" ht="15" customHeight="1"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8:27" ht="15" customHeight="1"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8:27" ht="15" customHeight="1"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</sheetData>
  <sheetProtection/>
  <mergeCells count="140">
    <mergeCell ref="H24:I24"/>
    <mergeCell ref="L26:N26"/>
    <mergeCell ref="L27:N27"/>
    <mergeCell ref="B14:B16"/>
    <mergeCell ref="D7:E7"/>
    <mergeCell ref="I7:J7"/>
    <mergeCell ref="D12:E12"/>
    <mergeCell ref="I12:J12"/>
    <mergeCell ref="E11:I11"/>
    <mergeCell ref="AA26:AC26"/>
    <mergeCell ref="AA27:AC27"/>
    <mergeCell ref="AA24:AC24"/>
    <mergeCell ref="X13:Z13"/>
    <mergeCell ref="W27:Y27"/>
    <mergeCell ref="W26:Y26"/>
    <mergeCell ref="AA23:AD23"/>
    <mergeCell ref="AI19:AM20"/>
    <mergeCell ref="AK24:AU24"/>
    <mergeCell ref="W24:Y24"/>
    <mergeCell ref="W25:Y25"/>
    <mergeCell ref="AA25:AC25"/>
    <mergeCell ref="W23:Z23"/>
    <mergeCell ref="F65:G65"/>
    <mergeCell ref="AK33:AW33"/>
    <mergeCell ref="AK36:AT36"/>
    <mergeCell ref="AK30:AV30"/>
    <mergeCell ref="W39:X39"/>
    <mergeCell ref="N46:O46"/>
    <mergeCell ref="F46:H46"/>
    <mergeCell ref="I46:J46"/>
    <mergeCell ref="F36:M36"/>
    <mergeCell ref="L46:M46"/>
    <mergeCell ref="E18:I18"/>
    <mergeCell ref="E25:I25"/>
    <mergeCell ref="J33:L33"/>
    <mergeCell ref="I26:J26"/>
    <mergeCell ref="D19:E19"/>
    <mergeCell ref="L23:N23"/>
    <mergeCell ref="L24:N24"/>
    <mergeCell ref="L25:N25"/>
    <mergeCell ref="J32:M32"/>
    <mergeCell ref="I19:J19"/>
    <mergeCell ref="V46:W46"/>
    <mergeCell ref="D26:E26"/>
    <mergeCell ref="AH4:AI4"/>
    <mergeCell ref="F39:H39"/>
    <mergeCell ref="O19:P19"/>
    <mergeCell ref="Q19:R19"/>
    <mergeCell ref="N39:O39"/>
    <mergeCell ref="Z39:AA39"/>
    <mergeCell ref="O36:Q36"/>
    <mergeCell ref="S46:T46"/>
    <mergeCell ref="M4:N4"/>
    <mergeCell ref="P5:Q5"/>
    <mergeCell ref="S5:T5"/>
    <mergeCell ref="P4:R4"/>
    <mergeCell ref="O12:Q12"/>
    <mergeCell ref="O9:Q9"/>
    <mergeCell ref="O11:Q11"/>
    <mergeCell ref="Q10:S10"/>
    <mergeCell ref="O8:Q8"/>
    <mergeCell ref="S23:V23"/>
    <mergeCell ref="L28:N28"/>
    <mergeCell ref="O28:Q28"/>
    <mergeCell ref="S28:U28"/>
    <mergeCell ref="Q15:S15"/>
    <mergeCell ref="M5:N5"/>
    <mergeCell ref="O18:P18"/>
    <mergeCell ref="Q13:S13"/>
    <mergeCell ref="O14:Q14"/>
    <mergeCell ref="B8:B10"/>
    <mergeCell ref="M20:O20"/>
    <mergeCell ref="P20:R20"/>
    <mergeCell ref="W28:Y28"/>
    <mergeCell ref="AA28:AC28"/>
    <mergeCell ref="O24:Q24"/>
    <mergeCell ref="O25:Q25"/>
    <mergeCell ref="O26:Q26"/>
    <mergeCell ref="O27:Q27"/>
    <mergeCell ref="S24:U24"/>
    <mergeCell ref="Z4:AC4"/>
    <mergeCell ref="AH10:AK10"/>
    <mergeCell ref="AH11:AK11"/>
    <mergeCell ref="E6:I6"/>
    <mergeCell ref="J31:M31"/>
    <mergeCell ref="O31:Q31"/>
    <mergeCell ref="S31:T31"/>
    <mergeCell ref="S25:U25"/>
    <mergeCell ref="S26:U26"/>
    <mergeCell ref="S27:U27"/>
    <mergeCell ref="AL10:AO10"/>
    <mergeCell ref="AP9:AS9"/>
    <mergeCell ref="AP10:AS10"/>
    <mergeCell ref="AH9:AK9"/>
    <mergeCell ref="AL11:AO11"/>
    <mergeCell ref="AP11:AS11"/>
    <mergeCell ref="AT9:AV9"/>
    <mergeCell ref="AW9:AY9"/>
    <mergeCell ref="AW10:AY10"/>
    <mergeCell ref="AW11:AY11"/>
    <mergeCell ref="AT10:AV10"/>
    <mergeCell ref="AT11:AV11"/>
    <mergeCell ref="AT12:AV12"/>
    <mergeCell ref="AH12:AK12"/>
    <mergeCell ref="Z31:AB31"/>
    <mergeCell ref="O32:P32"/>
    <mergeCell ref="R32:T32"/>
    <mergeCell ref="Z32:AB32"/>
    <mergeCell ref="V31:X31"/>
    <mergeCell ref="AL12:AO12"/>
    <mergeCell ref="AP12:AS12"/>
    <mergeCell ref="O23:R23"/>
    <mergeCell ref="BB9:BD9"/>
    <mergeCell ref="BE9:BG9"/>
    <mergeCell ref="S20:U20"/>
    <mergeCell ref="V20:W20"/>
    <mergeCell ref="BB10:BD10"/>
    <mergeCell ref="BB11:BD11"/>
    <mergeCell ref="BE10:BG10"/>
    <mergeCell ref="BE11:BG11"/>
    <mergeCell ref="AW12:AY12"/>
    <mergeCell ref="AL9:AO9"/>
    <mergeCell ref="BM11:BN11"/>
    <mergeCell ref="BM12:BN12"/>
    <mergeCell ref="BM13:BN13"/>
    <mergeCell ref="BM14:BN14"/>
    <mergeCell ref="BK10:BL10"/>
    <mergeCell ref="BK11:BL11"/>
    <mergeCell ref="BK12:BL12"/>
    <mergeCell ref="BK13:BL13"/>
    <mergeCell ref="BK9:BL9"/>
    <mergeCell ref="BM9:BN9"/>
    <mergeCell ref="Q39:S39"/>
    <mergeCell ref="F42:H42"/>
    <mergeCell ref="N42:O42"/>
    <mergeCell ref="Q42:S42"/>
    <mergeCell ref="W42:X42"/>
    <mergeCell ref="Z42:AA42"/>
    <mergeCell ref="BK14:BL14"/>
    <mergeCell ref="BM10:BN10"/>
  </mergeCells>
  <conditionalFormatting sqref="V46:W46 Z42:AA42 Z39:AA39 AB50:AC50 AC54 AC52">
    <cfRule type="cellIs" priority="1" dxfId="4" operator="greaterThan" stopIfTrue="1">
      <formula>1</formula>
    </cfRule>
  </conditionalFormatting>
  <conditionalFormatting sqref="M65:N65">
    <cfRule type="expression" priority="2" dxfId="4" stopIfTrue="1">
      <formula>$F$65&gt;$J$65</formula>
    </cfRule>
  </conditionalFormatting>
  <dataValidations count="3">
    <dataValidation type="list" allowBlank="1" showInputMessage="1" showErrorMessage="1" sqref="N39:O39 N42:O42">
      <formula1>"D13,D16,D19,D22,D25"</formula1>
    </dataValidation>
    <dataValidation type="list" allowBlank="1" showInputMessage="1" showErrorMessage="1" sqref="Z4:AC4">
      <formula1>"単純梁,連続梁（端部）,連続梁（内部）"</formula1>
    </dataValidation>
    <dataValidation type="list" allowBlank="1" showInputMessage="1" showErrorMessage="1" sqref="P20:R20">
      <formula1>"SD295A,SD345"</formula1>
    </dataValidation>
  </dataValidations>
  <hyperlinks>
    <hyperlink ref="AK24" r:id="rId1" display="構造設計講座（擁壁編）ＰＤＦ版"/>
    <hyperlink ref="AK27:AQ27" r:id="rId2" display="地盤許容応力度の計算（EXCELシート）"/>
    <hyperlink ref="AK30:AV30" r:id="rId3" display="コンクリートブロック土留めの設計 "/>
    <hyperlink ref="AK33:AW33" r:id="rId4" display="擁壁下のラップ形式柱状地盤改良設計 "/>
    <hyperlink ref="AK36:AT36" r:id="rId5" display="ラップ式柱状改良の断面性能 "/>
    <hyperlink ref="AK24:AU24" r:id="rId6" display="構造設計講座（ＲＣマンション編）"/>
    <hyperlink ref="AK27" r:id="rId7" display="地盤許容応力度の計算（EXCELシート）"/>
  </hyperlinks>
  <printOptions/>
  <pageMargins left="0.75" right="0.75" top="1" bottom="1" header="0.512" footer="0.512"/>
  <pageSetup horizontalDpi="300" verticalDpi="300" orientation="portrait" paperSize="9" r:id="rId9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67"/>
  <sheetViews>
    <sheetView zoomScalePageLayoutView="0" workbookViewId="0" topLeftCell="A1">
      <selection activeCell="B2" sqref="B2"/>
    </sheetView>
  </sheetViews>
  <sheetFormatPr defaultColWidth="9.00390625" defaultRowHeight="15" customHeight="1"/>
  <cols>
    <col min="1" max="1" width="1.875" style="3" customWidth="1"/>
    <col min="2" max="30" width="2.875" style="3" customWidth="1"/>
    <col min="31" max="31" width="1.875" style="3" customWidth="1"/>
    <col min="32" max="32" width="2.125" style="3" customWidth="1"/>
    <col min="33" max="72" width="2.875" style="3" customWidth="1"/>
    <col min="73" max="16384" width="9.00390625" style="3" customWidth="1"/>
  </cols>
  <sheetData>
    <row r="1" spans="1:3" s="2" customFormat="1" ht="19.5" customHeight="1">
      <c r="A1" s="1" t="s">
        <v>177</v>
      </c>
      <c r="B1" s="1"/>
      <c r="C1" s="1"/>
    </row>
    <row r="2" spans="3:56" ht="15" customHeight="1">
      <c r="C2" s="8"/>
      <c r="I2" s="22"/>
      <c r="J2" s="22"/>
      <c r="K2" s="8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"/>
      <c r="BA2" s="2"/>
      <c r="BB2" s="2"/>
      <c r="BC2" s="2"/>
      <c r="BD2" s="2"/>
    </row>
    <row r="3" spans="3:57" ht="15" customHeight="1">
      <c r="C3" s="30"/>
      <c r="F3" s="20" t="s">
        <v>128</v>
      </c>
      <c r="G3" s="21"/>
      <c r="H3" s="21"/>
      <c r="I3" s="21"/>
      <c r="J3" s="21"/>
      <c r="K3" s="8"/>
      <c r="L3" s="3" t="s">
        <v>58</v>
      </c>
      <c r="AG3" s="31" t="s">
        <v>8</v>
      </c>
      <c r="AH3" s="19"/>
      <c r="AI3" s="2"/>
      <c r="AJ3" s="2"/>
      <c r="AK3" s="2"/>
      <c r="AL3" s="2"/>
      <c r="AM3" s="2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"/>
      <c r="BB3" s="2"/>
      <c r="BC3" s="2"/>
      <c r="BD3" s="2"/>
      <c r="BE3" s="2"/>
    </row>
    <row r="4" spans="3:57" ht="15" customHeight="1">
      <c r="C4" s="30"/>
      <c r="D4" s="61"/>
      <c r="E4" s="12"/>
      <c r="F4" s="24"/>
      <c r="G4" s="24"/>
      <c r="H4" s="24"/>
      <c r="I4" s="24"/>
      <c r="J4" s="21"/>
      <c r="K4" s="8"/>
      <c r="M4" s="79" t="s">
        <v>129</v>
      </c>
      <c r="N4" s="79"/>
      <c r="O4" s="33" t="s">
        <v>130</v>
      </c>
      <c r="P4" s="106">
        <v>2.5</v>
      </c>
      <c r="Q4" s="106"/>
      <c r="R4" s="106"/>
      <c r="S4" s="3" t="s">
        <v>131</v>
      </c>
      <c r="Y4" s="43"/>
      <c r="Z4" s="62"/>
      <c r="AA4" s="62"/>
      <c r="AB4" s="62"/>
      <c r="AC4" s="62"/>
      <c r="AG4" s="19"/>
      <c r="AH4" s="109"/>
      <c r="AI4" s="110"/>
      <c r="AJ4" s="35" t="s">
        <v>9</v>
      </c>
      <c r="AK4" s="2"/>
      <c r="AL4" s="2"/>
      <c r="AM4" s="2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"/>
      <c r="BB4" s="2"/>
      <c r="BC4" s="2"/>
      <c r="BD4" s="2"/>
      <c r="BE4" s="2"/>
    </row>
    <row r="5" spans="3:57" ht="15" customHeight="1">
      <c r="C5" s="8"/>
      <c r="D5" s="61"/>
      <c r="E5" s="23"/>
      <c r="F5" s="23"/>
      <c r="G5" s="23"/>
      <c r="H5" s="23"/>
      <c r="I5" s="23"/>
      <c r="K5" s="8"/>
      <c r="M5" s="79" t="s">
        <v>132</v>
      </c>
      <c r="N5" s="79"/>
      <c r="O5" s="33" t="s">
        <v>16</v>
      </c>
      <c r="P5" s="95">
        <v>30</v>
      </c>
      <c r="Q5" s="95"/>
      <c r="R5" s="33" t="s">
        <v>133</v>
      </c>
      <c r="S5" s="95">
        <v>60</v>
      </c>
      <c r="T5" s="95"/>
      <c r="U5" s="3" t="s">
        <v>134</v>
      </c>
      <c r="AH5" s="2" t="s">
        <v>10</v>
      </c>
      <c r="AI5" s="2"/>
      <c r="AJ5" s="2"/>
      <c r="AK5" s="29"/>
      <c r="AL5" s="29"/>
      <c r="AM5" s="2"/>
      <c r="AN5" s="2"/>
      <c r="AO5" s="2"/>
      <c r="AP5" s="2"/>
      <c r="AQ5" s="29"/>
      <c r="AR5" s="29"/>
      <c r="AS5" s="29"/>
      <c r="AT5" s="29"/>
      <c r="AU5" s="29"/>
      <c r="AV5" s="29"/>
      <c r="AW5" s="29"/>
      <c r="AX5" s="2"/>
      <c r="BB5" s="2"/>
      <c r="BC5" s="2"/>
      <c r="BD5" s="2"/>
      <c r="BE5" s="2"/>
    </row>
    <row r="6" spans="3:50" ht="15" customHeight="1">
      <c r="C6" s="8"/>
      <c r="E6" s="88" t="s">
        <v>135</v>
      </c>
      <c r="F6" s="89"/>
      <c r="G6" s="89"/>
      <c r="H6" s="89"/>
      <c r="I6" s="90"/>
      <c r="K6" s="8"/>
      <c r="L6" s="8"/>
      <c r="AH6" s="35"/>
      <c r="AI6" s="2"/>
      <c r="AJ6" s="2"/>
      <c r="AK6" s="2"/>
      <c r="AL6" s="2"/>
      <c r="AM6" s="2"/>
      <c r="AN6" s="2"/>
      <c r="AO6" s="2"/>
      <c r="AP6" s="2"/>
      <c r="AQ6" s="29"/>
      <c r="AR6" s="29"/>
      <c r="AS6" s="29"/>
      <c r="AT6" s="29"/>
      <c r="AU6" s="29"/>
      <c r="AV6" s="29"/>
      <c r="AW6" s="29"/>
      <c r="AX6" s="2"/>
    </row>
    <row r="7" spans="4:50" ht="15" customHeight="1">
      <c r="D7" s="21"/>
      <c r="E7" s="21"/>
      <c r="F7" s="8"/>
      <c r="G7" s="8"/>
      <c r="H7" s="8"/>
      <c r="I7" s="30"/>
      <c r="J7" s="30"/>
      <c r="K7" s="8"/>
      <c r="L7" s="8" t="s">
        <v>61</v>
      </c>
      <c r="AH7" s="72"/>
      <c r="AI7" s="72"/>
      <c r="AJ7" s="72"/>
      <c r="AK7" s="72" t="s">
        <v>142</v>
      </c>
      <c r="AL7" s="72"/>
      <c r="AM7" s="72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"/>
    </row>
    <row r="8" spans="12:49" ht="15" customHeight="1">
      <c r="L8" s="8"/>
      <c r="M8" s="32" t="s">
        <v>136</v>
      </c>
      <c r="N8" s="33" t="s">
        <v>137</v>
      </c>
      <c r="O8" s="107">
        <f>4.8*3</f>
        <v>14.399999999999999</v>
      </c>
      <c r="P8" s="107"/>
      <c r="Q8" s="107"/>
      <c r="R8" s="20" t="s">
        <v>138</v>
      </c>
      <c r="T8" s="3" t="s">
        <v>54</v>
      </c>
      <c r="AH8" s="72" t="s">
        <v>145</v>
      </c>
      <c r="AI8" s="72"/>
      <c r="AJ8" s="72"/>
      <c r="AK8" s="72">
        <v>19.5</v>
      </c>
      <c r="AL8" s="72"/>
      <c r="AM8" s="72"/>
      <c r="AN8" s="2"/>
      <c r="AO8" s="2"/>
      <c r="AP8" s="29"/>
      <c r="AQ8" s="29"/>
      <c r="AR8" s="29"/>
      <c r="AS8" s="29"/>
      <c r="AT8" s="29"/>
      <c r="AU8" s="29"/>
      <c r="AV8" s="29"/>
      <c r="AW8" s="2"/>
    </row>
    <row r="9" spans="2:66" ht="15" customHeight="1">
      <c r="B9" s="126" t="s">
        <v>153</v>
      </c>
      <c r="C9" s="37"/>
      <c r="H9" s="20" t="s">
        <v>176</v>
      </c>
      <c r="L9" s="8"/>
      <c r="M9" s="32" t="s">
        <v>139</v>
      </c>
      <c r="N9" s="33" t="s">
        <v>140</v>
      </c>
      <c r="O9" s="107">
        <v>6.7</v>
      </c>
      <c r="P9" s="107"/>
      <c r="Q9" s="107"/>
      <c r="R9" s="3" t="s">
        <v>141</v>
      </c>
      <c r="T9" s="20" t="s">
        <v>56</v>
      </c>
      <c r="AH9" s="78" t="s">
        <v>147</v>
      </c>
      <c r="AI9" s="72"/>
      <c r="AJ9" s="72"/>
      <c r="AK9" s="72">
        <v>21.5</v>
      </c>
      <c r="AL9" s="72"/>
      <c r="AM9" s="72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BK9" s="72"/>
      <c r="BL9" s="72"/>
      <c r="BM9" s="72" t="s">
        <v>143</v>
      </c>
      <c r="BN9" s="72"/>
    </row>
    <row r="10" spans="2:66" ht="9.75" customHeight="1">
      <c r="B10" s="126"/>
      <c r="C10" s="8"/>
      <c r="F10" s="20"/>
      <c r="G10" s="21"/>
      <c r="H10" s="21"/>
      <c r="I10" s="21"/>
      <c r="J10" s="21"/>
      <c r="K10" s="8"/>
      <c r="L10" s="8"/>
      <c r="O10" s="33"/>
      <c r="P10" s="33"/>
      <c r="Q10" s="65"/>
      <c r="R10" s="65"/>
      <c r="S10" s="65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64"/>
      <c r="AX10" s="64"/>
      <c r="AY10" s="64"/>
      <c r="BK10" s="72" t="s">
        <v>146</v>
      </c>
      <c r="BL10" s="72"/>
      <c r="BM10" s="72">
        <v>1.27</v>
      </c>
      <c r="BN10" s="72"/>
    </row>
    <row r="11" spans="2:66" ht="15" customHeight="1">
      <c r="B11" s="126"/>
      <c r="C11" s="39"/>
      <c r="D11" s="61"/>
      <c r="E11" s="12"/>
      <c r="F11" s="24"/>
      <c r="G11" s="24"/>
      <c r="H11" s="24"/>
      <c r="I11" s="24"/>
      <c r="J11" s="21"/>
      <c r="K11" s="8"/>
      <c r="M11" s="33" t="s">
        <v>149</v>
      </c>
      <c r="N11" s="33" t="s">
        <v>32</v>
      </c>
      <c r="O11" s="107">
        <v>12.5</v>
      </c>
      <c r="P11" s="107"/>
      <c r="Q11" s="107"/>
      <c r="R11" s="20" t="s">
        <v>150</v>
      </c>
      <c r="T11" s="20" t="s">
        <v>57</v>
      </c>
      <c r="AN11" s="30"/>
      <c r="AO11" s="30"/>
      <c r="AP11" s="30"/>
      <c r="AQ11" s="30"/>
      <c r="AR11" s="30"/>
      <c r="AS11" s="30"/>
      <c r="AT11" s="30"/>
      <c r="AU11" s="30"/>
      <c r="AV11" s="30"/>
      <c r="AW11" s="64"/>
      <c r="AX11" s="64"/>
      <c r="AY11" s="64"/>
      <c r="BK11" s="78" t="s">
        <v>148</v>
      </c>
      <c r="BL11" s="72"/>
      <c r="BM11" s="72">
        <v>1.99</v>
      </c>
      <c r="BN11" s="72"/>
    </row>
    <row r="12" spans="4:66" ht="15" customHeight="1">
      <c r="D12" s="61"/>
      <c r="E12" s="23"/>
      <c r="F12" s="23"/>
      <c r="G12" s="23"/>
      <c r="H12" s="23"/>
      <c r="I12" s="23"/>
      <c r="K12" s="8"/>
      <c r="AN12" s="30"/>
      <c r="AO12" s="30"/>
      <c r="AP12" s="30"/>
      <c r="AQ12" s="30"/>
      <c r="AR12" s="30"/>
      <c r="AS12" s="30"/>
      <c r="AT12" s="30"/>
      <c r="AU12" s="30"/>
      <c r="AV12" s="30"/>
      <c r="AW12" s="64"/>
      <c r="AX12" s="64"/>
      <c r="AY12" s="64"/>
      <c r="BK12" s="78" t="s">
        <v>151</v>
      </c>
      <c r="BL12" s="72"/>
      <c r="BM12" s="72">
        <v>2.87</v>
      </c>
      <c r="BN12" s="72"/>
    </row>
    <row r="13" spans="5:66" ht="15" customHeight="1">
      <c r="E13" s="113" t="s">
        <v>135</v>
      </c>
      <c r="F13" s="114"/>
      <c r="G13" s="114"/>
      <c r="H13" s="114"/>
      <c r="I13" s="115"/>
      <c r="M13" s="33" t="s">
        <v>154</v>
      </c>
      <c r="N13" s="33" t="s">
        <v>144</v>
      </c>
      <c r="O13" s="128">
        <f>ROUNDUP(24*P5/100*S5/100,2)</f>
        <v>4.32</v>
      </c>
      <c r="P13" s="128"/>
      <c r="Q13" s="128"/>
      <c r="R13" s="35" t="s">
        <v>155</v>
      </c>
      <c r="S13" s="2"/>
      <c r="T13" s="35" t="s">
        <v>62</v>
      </c>
      <c r="U13" s="2"/>
      <c r="V13" s="2"/>
      <c r="Y13" s="66"/>
      <c r="Z13" s="66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BK13" s="78" t="s">
        <v>152</v>
      </c>
      <c r="BL13" s="72"/>
      <c r="BM13" s="72">
        <v>3.87</v>
      </c>
      <c r="BN13" s="72"/>
    </row>
    <row r="14" spans="4:66" ht="15" customHeight="1">
      <c r="D14" s="21"/>
      <c r="E14" s="21"/>
      <c r="F14" s="8"/>
      <c r="G14" s="8"/>
      <c r="H14" s="8"/>
      <c r="I14" s="30"/>
      <c r="J14" s="30"/>
      <c r="O14" s="32" t="s">
        <v>157</v>
      </c>
      <c r="P14" s="33" t="s">
        <v>144</v>
      </c>
      <c r="Q14" s="77">
        <f>+W_1+O13</f>
        <v>18.72</v>
      </c>
      <c r="R14" s="77"/>
      <c r="S14" s="77"/>
      <c r="T14" s="20" t="s">
        <v>155</v>
      </c>
      <c r="BK14" s="78" t="s">
        <v>156</v>
      </c>
      <c r="BL14" s="72"/>
      <c r="BM14" s="72">
        <v>5.07</v>
      </c>
      <c r="BN14" s="72"/>
    </row>
    <row r="15" spans="6:10" ht="15" customHeight="1">
      <c r="F15" s="20"/>
      <c r="G15" s="21"/>
      <c r="H15" s="20" t="s">
        <v>162</v>
      </c>
      <c r="I15" s="21"/>
      <c r="J15" s="21"/>
    </row>
    <row r="16" spans="6:19" ht="15" customHeight="1">
      <c r="F16" s="20"/>
      <c r="G16" s="21"/>
      <c r="I16" s="21"/>
      <c r="J16" s="21"/>
      <c r="L16" s="3" t="s">
        <v>63</v>
      </c>
      <c r="M16" s="40"/>
      <c r="N16" s="33"/>
      <c r="O16" s="41"/>
      <c r="P16" s="42"/>
      <c r="Q16" s="42"/>
      <c r="S16" s="20"/>
    </row>
    <row r="17" spans="4:19" ht="15" customHeight="1">
      <c r="D17" s="61"/>
      <c r="E17" s="12"/>
      <c r="F17" s="24"/>
      <c r="G17" s="24"/>
      <c r="H17" s="24"/>
      <c r="I17" s="24"/>
      <c r="J17" s="21"/>
      <c r="M17" s="43" t="s">
        <v>158</v>
      </c>
      <c r="N17" s="33" t="s">
        <v>144</v>
      </c>
      <c r="O17" s="104">
        <v>4</v>
      </c>
      <c r="P17" s="104"/>
      <c r="Q17" s="3" t="s">
        <v>159</v>
      </c>
      <c r="S17" s="20"/>
    </row>
    <row r="18" spans="4:52" ht="15" customHeight="1" thickBot="1">
      <c r="D18" s="61"/>
      <c r="E18" s="23"/>
      <c r="F18" s="23"/>
      <c r="G18" s="23"/>
      <c r="H18" s="23"/>
      <c r="I18" s="23"/>
      <c r="M18" s="34" t="s">
        <v>160</v>
      </c>
      <c r="N18" s="33" t="s">
        <v>144</v>
      </c>
      <c r="O18" s="111">
        <v>21</v>
      </c>
      <c r="P18" s="111"/>
      <c r="Q18" s="112" t="s">
        <v>161</v>
      </c>
      <c r="R18" s="112"/>
      <c r="S18" s="20" t="s">
        <v>7</v>
      </c>
      <c r="AI18" s="121" t="s">
        <v>11</v>
      </c>
      <c r="AJ18" s="121"/>
      <c r="AK18" s="121"/>
      <c r="AL18" s="121"/>
      <c r="AM18" s="121"/>
      <c r="AN18" s="2"/>
      <c r="AO18" s="2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"/>
    </row>
    <row r="19" spans="5:60" ht="15" customHeight="1" thickTop="1">
      <c r="E19" s="129" t="s">
        <v>165</v>
      </c>
      <c r="F19" s="116"/>
      <c r="G19" s="116"/>
      <c r="H19" s="116"/>
      <c r="I19" s="130"/>
      <c r="K19" s="8"/>
      <c r="M19" s="94" t="s">
        <v>111</v>
      </c>
      <c r="N19" s="94"/>
      <c r="O19" s="94"/>
      <c r="P19" s="95" t="s">
        <v>178</v>
      </c>
      <c r="Q19" s="95"/>
      <c r="R19" s="95"/>
      <c r="S19" s="79" t="s">
        <v>163</v>
      </c>
      <c r="T19" s="73"/>
      <c r="U19" s="73"/>
      <c r="V19" s="73">
        <f>VLOOKUP(P19,AH8:AM9,4,FALSE)</f>
        <v>19.5</v>
      </c>
      <c r="W19" s="73"/>
      <c r="X19" s="3" t="s">
        <v>164</v>
      </c>
      <c r="AH19" s="4"/>
      <c r="AI19" s="121"/>
      <c r="AJ19" s="121"/>
      <c r="AK19" s="121"/>
      <c r="AL19" s="121"/>
      <c r="AM19" s="121"/>
      <c r="AN19" s="46"/>
      <c r="AO19" s="46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6"/>
      <c r="BA19" s="5"/>
      <c r="BB19" s="5"/>
      <c r="BC19" s="5"/>
      <c r="BD19" s="5"/>
      <c r="BE19" s="5"/>
      <c r="BF19" s="5"/>
      <c r="BG19" s="5"/>
      <c r="BH19" s="6"/>
    </row>
    <row r="20" spans="3:60" ht="15" customHeight="1">
      <c r="C20" s="21"/>
      <c r="D20" s="21"/>
      <c r="E20" s="8"/>
      <c r="F20" s="8"/>
      <c r="G20" s="8"/>
      <c r="H20" s="30"/>
      <c r="I20" s="30"/>
      <c r="K20" s="8"/>
      <c r="M20" s="94" t="s">
        <v>180</v>
      </c>
      <c r="N20" s="94"/>
      <c r="O20" s="94"/>
      <c r="P20" s="94"/>
      <c r="Q20" s="127">
        <v>1.5</v>
      </c>
      <c r="R20" s="127"/>
      <c r="AH20" s="7"/>
      <c r="AI20" s="49"/>
      <c r="AJ20" s="12"/>
      <c r="AK20" s="12"/>
      <c r="AL20" s="12"/>
      <c r="AM20" s="12"/>
      <c r="AN20" s="12"/>
      <c r="AO20" s="12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2"/>
      <c r="BA20" s="8"/>
      <c r="BB20" s="8"/>
      <c r="BC20" s="8"/>
      <c r="BD20" s="8"/>
      <c r="BE20" s="8"/>
      <c r="BF20" s="8"/>
      <c r="BG20" s="8"/>
      <c r="BH20" s="9"/>
    </row>
    <row r="21" spans="3:60" ht="15" customHeight="1">
      <c r="C21" s="40" t="s">
        <v>72</v>
      </c>
      <c r="K21" s="8"/>
      <c r="AE21" s="44"/>
      <c r="AH21" s="7"/>
      <c r="AI21" s="50" t="s">
        <v>12</v>
      </c>
      <c r="AJ21" s="12"/>
      <c r="AK21" s="12"/>
      <c r="AL21" s="12"/>
      <c r="AM21" s="12"/>
      <c r="AN21" s="12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2"/>
      <c r="AZ21" s="8"/>
      <c r="BA21" s="8"/>
      <c r="BB21" s="8"/>
      <c r="BC21" s="8"/>
      <c r="BD21" s="8"/>
      <c r="BE21" s="8"/>
      <c r="BF21" s="8"/>
      <c r="BG21" s="8"/>
      <c r="BH21" s="9"/>
    </row>
    <row r="22" spans="3:60" ht="15" customHeight="1">
      <c r="C22" s="40" t="s">
        <v>74</v>
      </c>
      <c r="K22" s="8"/>
      <c r="L22" s="30"/>
      <c r="M22" s="30"/>
      <c r="N22" s="30"/>
      <c r="O22" s="30"/>
      <c r="P22" s="30"/>
      <c r="Q22" s="30"/>
      <c r="R22" s="30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8"/>
      <c r="AH22" s="7"/>
      <c r="AI22" s="12"/>
      <c r="AJ22" s="12"/>
      <c r="AK22" s="12"/>
      <c r="AL22" s="12"/>
      <c r="AM22" s="12"/>
      <c r="AN22" s="12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2"/>
      <c r="AZ22" s="8"/>
      <c r="BA22" s="8"/>
      <c r="BB22" s="8"/>
      <c r="BC22" s="8"/>
      <c r="BD22" s="8"/>
      <c r="BE22" s="8"/>
      <c r="BF22" s="8"/>
      <c r="BG22" s="8"/>
      <c r="BH22" s="9"/>
    </row>
    <row r="23" spans="4:60" ht="15" customHeight="1">
      <c r="D23" s="57" t="s">
        <v>179</v>
      </c>
      <c r="E23" s="33" t="s">
        <v>0</v>
      </c>
      <c r="F23" s="20" t="str">
        <f>"1/2 × "&amp;TEXT(W,"0.00")&amp;" × "&amp;TEXT(L,"0.000")&amp;"^2"&amp;IF(W_2=0,""," + "&amp;TEXT(W_2,"0.00")&amp;" × "&amp;TEXT(L,"0.000")&amp;"^3 / 8")&amp;IF(P=0,""," + "&amp;TEXT(P,"0.00")&amp;" × "&amp;TEXT(L,"0.000"))</f>
        <v>1/2 × 18.72 × 2.500^2 + 6.70 × 2.500^3 / 8 + 12.50 × 2.500</v>
      </c>
      <c r="G23" s="51"/>
      <c r="H23" s="51"/>
      <c r="I23" s="51"/>
      <c r="J23" s="33"/>
      <c r="K23" s="48"/>
      <c r="L23" s="51"/>
      <c r="M23" s="51"/>
      <c r="N23" s="51"/>
      <c r="O23" s="51"/>
      <c r="P23" s="51"/>
      <c r="Q23" s="48"/>
      <c r="R23" s="48"/>
      <c r="S23" s="51"/>
      <c r="T23" s="51"/>
      <c r="AA23" s="68"/>
      <c r="AB23" s="68"/>
      <c r="AC23" s="68"/>
      <c r="AD23" s="8"/>
      <c r="AE23" s="8"/>
      <c r="AH23" s="7"/>
      <c r="AI23" s="8"/>
      <c r="AJ23" s="10" t="s">
        <v>14</v>
      </c>
      <c r="AK23" s="122" t="s">
        <v>20</v>
      </c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8"/>
      <c r="AW23" s="12"/>
      <c r="AX23" s="8"/>
      <c r="AY23" s="11" t="s">
        <v>13</v>
      </c>
      <c r="AZ23" s="8"/>
      <c r="BA23" s="8"/>
      <c r="BB23" s="8"/>
      <c r="BC23" s="8"/>
      <c r="BD23" s="8"/>
      <c r="BE23" s="8"/>
      <c r="BF23" s="8"/>
      <c r="BG23" s="8"/>
      <c r="BH23" s="9"/>
    </row>
    <row r="24" spans="4:60" ht="15" customHeight="1">
      <c r="D24" s="57"/>
      <c r="E24" s="38" t="s">
        <v>0</v>
      </c>
      <c r="F24" s="77">
        <f>ROUNDUP(1/2*W*L^2+W_2*L^3/8+P*L,2)</f>
        <v>102.84</v>
      </c>
      <c r="G24" s="73"/>
      <c r="H24" s="73"/>
      <c r="I24" s="3" t="s">
        <v>166</v>
      </c>
      <c r="J24" s="33"/>
      <c r="K24" s="48"/>
      <c r="L24" s="48"/>
      <c r="M24" s="48"/>
      <c r="N24" s="48"/>
      <c r="O24" s="48"/>
      <c r="P24" s="48"/>
      <c r="S24" s="51"/>
      <c r="T24" s="51"/>
      <c r="U24" s="48"/>
      <c r="V24" s="48"/>
      <c r="W24" s="51"/>
      <c r="X24" s="51"/>
      <c r="Z24" s="8"/>
      <c r="AA24" s="68"/>
      <c r="AB24" s="68"/>
      <c r="AC24" s="68"/>
      <c r="AD24" s="8"/>
      <c r="AE24" s="8"/>
      <c r="AH24" s="7"/>
      <c r="AI24" s="8"/>
      <c r="AJ24" s="8"/>
      <c r="AK24" s="8"/>
      <c r="AL24" s="8"/>
      <c r="AM24" s="8"/>
      <c r="AN24" s="8"/>
      <c r="AO24" s="12"/>
      <c r="AP24" s="12"/>
      <c r="AQ24" s="12"/>
      <c r="AR24" s="12"/>
      <c r="AS24" s="12"/>
      <c r="AT24" s="12"/>
      <c r="AU24" s="12"/>
      <c r="AV24" s="12"/>
      <c r="AW24" s="12"/>
      <c r="AX24" s="8"/>
      <c r="AY24" s="12"/>
      <c r="AZ24" s="8"/>
      <c r="BA24" s="8"/>
      <c r="BB24" s="8"/>
      <c r="BC24" s="8"/>
      <c r="BD24" s="8"/>
      <c r="BE24" s="8"/>
      <c r="BF24" s="8"/>
      <c r="BG24" s="8"/>
      <c r="BH24" s="9"/>
    </row>
    <row r="25" spans="10:60" ht="15" customHeight="1">
      <c r="J25" s="8"/>
      <c r="L25" s="63"/>
      <c r="M25" s="30"/>
      <c r="N25" s="30"/>
      <c r="O25" s="64"/>
      <c r="P25" s="67"/>
      <c r="Q25" s="67"/>
      <c r="R25" s="8"/>
      <c r="S25" s="68"/>
      <c r="T25" s="68"/>
      <c r="U25" s="68"/>
      <c r="V25" s="8"/>
      <c r="W25" s="68"/>
      <c r="X25" s="68"/>
      <c r="Y25" s="68"/>
      <c r="Z25" s="8"/>
      <c r="AA25" s="64"/>
      <c r="AB25" s="67"/>
      <c r="AC25" s="67"/>
      <c r="AD25" s="8"/>
      <c r="AE25" s="8"/>
      <c r="AH25" s="7"/>
      <c r="AI25" s="8"/>
      <c r="AJ25" s="8"/>
      <c r="AK25" s="8"/>
      <c r="AL25" s="8"/>
      <c r="AM25" s="8"/>
      <c r="AN25" s="8"/>
      <c r="AO25" s="12"/>
      <c r="AP25" s="12"/>
      <c r="AQ25" s="12"/>
      <c r="AR25" s="12"/>
      <c r="AS25" s="12"/>
      <c r="AT25" s="12"/>
      <c r="AU25" s="12"/>
      <c r="AV25" s="12"/>
      <c r="AW25" s="12"/>
      <c r="AX25" s="8"/>
      <c r="AY25" s="12"/>
      <c r="AZ25" s="8"/>
      <c r="BA25" s="8"/>
      <c r="BB25" s="8"/>
      <c r="BC25" s="8"/>
      <c r="BD25" s="8"/>
      <c r="BE25" s="8"/>
      <c r="BF25" s="8"/>
      <c r="BG25" s="8"/>
      <c r="BH25" s="9"/>
    </row>
    <row r="26" spans="3:60" ht="15" customHeight="1">
      <c r="C26" s="3" t="s">
        <v>104</v>
      </c>
      <c r="L26" s="30"/>
      <c r="M26" s="30"/>
      <c r="N26" s="30"/>
      <c r="O26" s="64"/>
      <c r="P26" s="67"/>
      <c r="Q26" s="67"/>
      <c r="R26" s="8"/>
      <c r="S26" s="68"/>
      <c r="T26" s="68"/>
      <c r="U26" s="68"/>
      <c r="V26" s="8"/>
      <c r="W26" s="68"/>
      <c r="X26" s="68"/>
      <c r="Y26" s="68"/>
      <c r="Z26" s="8"/>
      <c r="AA26" s="68"/>
      <c r="AB26" s="68"/>
      <c r="AC26" s="68"/>
      <c r="AD26" s="8"/>
      <c r="AE26" s="8"/>
      <c r="AH26" s="7"/>
      <c r="AI26" s="8"/>
      <c r="AJ26" s="10" t="s">
        <v>14</v>
      </c>
      <c r="AK26" s="28" t="s">
        <v>126</v>
      </c>
      <c r="AL26" s="28"/>
      <c r="AM26" s="28"/>
      <c r="AN26" s="28"/>
      <c r="AO26" s="28"/>
      <c r="AP26" s="28"/>
      <c r="AQ26" s="28"/>
      <c r="AR26" s="28"/>
      <c r="AS26" s="28"/>
      <c r="AT26" s="28"/>
      <c r="AU26" s="60"/>
      <c r="AV26" s="60"/>
      <c r="AW26" s="8"/>
      <c r="AX26" s="8"/>
      <c r="AY26" s="11" t="s">
        <v>181</v>
      </c>
      <c r="AZ26" s="8"/>
      <c r="BA26" s="8"/>
      <c r="BB26" s="8"/>
      <c r="BC26" s="8"/>
      <c r="BD26" s="8"/>
      <c r="BE26" s="8"/>
      <c r="BF26" s="8"/>
      <c r="BG26" s="8"/>
      <c r="BH26" s="9"/>
    </row>
    <row r="27" spans="3:60" ht="15" customHeight="1">
      <c r="C27" s="40"/>
      <c r="D27" s="38" t="s">
        <v>167</v>
      </c>
      <c r="E27" s="33" t="s">
        <v>168</v>
      </c>
      <c r="F27" s="20" t="str">
        <f>TEXT(W,"0.00")&amp;" × "&amp;TEXT(L,"0.000")&amp;IF(W_2=0,""," + "&amp;TEXT(W_2,"0.00")&amp;" × "&amp;TEXT(L,"0.000")&amp;"^2 / 4")&amp;IF(P=0,""," + "&amp;TEXT(P,"0.00"))</f>
        <v>18.72 × 2.500 + 6.70 × 2.500^2 / 4 + 12.50</v>
      </c>
      <c r="L27" s="30"/>
      <c r="M27" s="30"/>
      <c r="N27" s="30"/>
      <c r="O27" s="64"/>
      <c r="P27" s="67"/>
      <c r="Q27" s="67"/>
      <c r="R27" s="8"/>
      <c r="S27" s="64"/>
      <c r="T27" s="64"/>
      <c r="U27" s="64"/>
      <c r="V27" s="8"/>
      <c r="W27" s="64"/>
      <c r="X27" s="64"/>
      <c r="Y27" s="64"/>
      <c r="Z27" s="8"/>
      <c r="AA27" s="64"/>
      <c r="AB27" s="64"/>
      <c r="AC27" s="64"/>
      <c r="AD27" s="8"/>
      <c r="AH27" s="7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9"/>
    </row>
    <row r="28" spans="3:60" ht="15" customHeight="1">
      <c r="C28" s="40"/>
      <c r="E28" s="33" t="s">
        <v>168</v>
      </c>
      <c r="F28" s="77">
        <f>ROUNDUP(W*L+W_2*L^2/4+P,2)</f>
        <v>69.77000000000001</v>
      </c>
      <c r="G28" s="73"/>
      <c r="H28" s="73"/>
      <c r="I28" s="3" t="s">
        <v>169</v>
      </c>
      <c r="W28" s="23"/>
      <c r="X28" s="23"/>
      <c r="Y28" s="23"/>
      <c r="AH28" s="7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9"/>
    </row>
    <row r="29" spans="10:60" ht="15" customHeight="1">
      <c r="J29" s="20"/>
      <c r="AH29" s="7"/>
      <c r="AI29" s="8"/>
      <c r="AJ29" s="10" t="s">
        <v>14</v>
      </c>
      <c r="AK29" s="118" t="s">
        <v>43</v>
      </c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8"/>
      <c r="AX29" s="8"/>
      <c r="AY29" s="11" t="s">
        <v>182</v>
      </c>
      <c r="AZ29" s="8"/>
      <c r="BA29" s="8"/>
      <c r="BB29" s="8"/>
      <c r="BC29" s="8"/>
      <c r="BD29" s="8"/>
      <c r="BE29" s="8"/>
      <c r="BF29" s="8"/>
      <c r="BG29" s="8"/>
      <c r="BH29" s="9"/>
    </row>
    <row r="30" spans="3:60" ht="15" customHeight="1">
      <c r="C30" s="40" t="s">
        <v>108</v>
      </c>
      <c r="D30" s="20"/>
      <c r="AH30" s="7"/>
      <c r="BF30" s="8"/>
      <c r="BG30" s="8"/>
      <c r="BH30" s="9"/>
    </row>
    <row r="31" spans="4:60" ht="15" customHeight="1">
      <c r="D31" s="32" t="s">
        <v>31</v>
      </c>
      <c r="E31" s="33" t="s">
        <v>32</v>
      </c>
      <c r="F31" s="120" t="str">
        <f>" 7/8 × ( "&amp;TEXT(D,"0.0")&amp;" - "&amp;TEXT(dt,"0.0")&amp;" )"</f>
        <v> 7/8 × ( 60.0 - 4.0 )</v>
      </c>
      <c r="G31" s="120"/>
      <c r="H31" s="120"/>
      <c r="I31" s="120"/>
      <c r="J31" s="120"/>
      <c r="K31" s="120"/>
      <c r="L31" s="120"/>
      <c r="M31" s="120"/>
      <c r="N31" s="33" t="s">
        <v>32</v>
      </c>
      <c r="O31" s="77">
        <f>ROUNDDOWN(7/8*(D-dt),2)</f>
        <v>49</v>
      </c>
      <c r="P31" s="77"/>
      <c r="Q31" s="77"/>
      <c r="R31" s="3" t="s">
        <v>33</v>
      </c>
      <c r="AH31" s="7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9"/>
    </row>
    <row r="32" spans="5:60" ht="15" customHeight="1">
      <c r="E32" s="33"/>
      <c r="F32" s="48"/>
      <c r="G32" s="48"/>
      <c r="L32" s="20"/>
      <c r="AH32" s="7"/>
      <c r="AI32" s="12"/>
      <c r="AJ32" s="10" t="s">
        <v>14</v>
      </c>
      <c r="AK32" s="117" t="s">
        <v>44</v>
      </c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3"/>
      <c r="AY32" s="11" t="s">
        <v>182</v>
      </c>
      <c r="AZ32" s="12"/>
      <c r="BA32" s="12"/>
      <c r="BB32" s="12"/>
      <c r="BC32" s="12"/>
      <c r="BD32" s="12"/>
      <c r="BE32" s="12"/>
      <c r="BF32" s="12"/>
      <c r="BG32" s="8"/>
      <c r="BH32" s="9"/>
    </row>
    <row r="33" spans="4:60" ht="15" customHeight="1">
      <c r="D33" s="33" t="s">
        <v>122</v>
      </c>
      <c r="E33" s="33" t="s">
        <v>0</v>
      </c>
      <c r="F33" s="3" t="str">
        <f>" "&amp;TEXT(M_1,"0.00")&amp;" × "&amp;TEXT(α,"0.00")&amp;" × 100 / "&amp;TEXT(ft,"0.0")&amp;" / "&amp;TEXT(J,"0.00")</f>
        <v> 102.84 × 1.50 × 100 / 19.5 / 49.00</v>
      </c>
      <c r="AH33" s="7"/>
      <c r="BG33" s="8"/>
      <c r="BH33" s="9"/>
    </row>
    <row r="34" spans="4:60" ht="15" customHeight="1">
      <c r="D34" s="20"/>
      <c r="E34" s="33" t="s">
        <v>0</v>
      </c>
      <c r="F34" s="74">
        <f>ROUNDUP(M_1*α*100/ft/J,2)</f>
        <v>16.150000000000002</v>
      </c>
      <c r="G34" s="74"/>
      <c r="H34" s="74"/>
      <c r="I34" s="20" t="s">
        <v>170</v>
      </c>
      <c r="K34" s="33" t="s">
        <v>171</v>
      </c>
      <c r="L34" s="59">
        <v>6</v>
      </c>
      <c r="M34" s="58" t="s">
        <v>101</v>
      </c>
      <c r="N34" s="75" t="s">
        <v>118</v>
      </c>
      <c r="O34" s="75"/>
      <c r="P34" s="34" t="s">
        <v>3</v>
      </c>
      <c r="Q34" s="73">
        <f>VLOOKUP(N34,$BK$10:$BN$14,3,FALSE)*L34</f>
        <v>17.22</v>
      </c>
      <c r="R34" s="73"/>
      <c r="S34" s="73"/>
      <c r="T34" s="20" t="s">
        <v>124</v>
      </c>
      <c r="W34" s="76" t="s">
        <v>5</v>
      </c>
      <c r="X34" s="76"/>
      <c r="Y34" s="34" t="s">
        <v>3</v>
      </c>
      <c r="Z34" s="77">
        <f>+F34/Q34</f>
        <v>0.9378629500580722</v>
      </c>
      <c r="AA34" s="77"/>
      <c r="AB34" s="3" t="s">
        <v>4</v>
      </c>
      <c r="AH34" s="7"/>
      <c r="BG34" s="8"/>
      <c r="BH34" s="9"/>
    </row>
    <row r="35" spans="34:60" ht="15" customHeight="1">
      <c r="AH35" s="7"/>
      <c r="AI35" s="12"/>
      <c r="AJ35" s="10" t="s">
        <v>14</v>
      </c>
      <c r="AK35" s="117" t="s">
        <v>15</v>
      </c>
      <c r="AL35" s="117"/>
      <c r="AM35" s="117"/>
      <c r="AN35" s="117"/>
      <c r="AO35" s="117"/>
      <c r="AP35" s="117"/>
      <c r="AQ35" s="117"/>
      <c r="AR35" s="117"/>
      <c r="AS35" s="117"/>
      <c r="AT35" s="117"/>
      <c r="AU35" s="13"/>
      <c r="AV35" s="13"/>
      <c r="AW35" s="13"/>
      <c r="AX35" s="13"/>
      <c r="AY35" s="11" t="s">
        <v>183</v>
      </c>
      <c r="AZ35" s="12"/>
      <c r="BA35" s="12"/>
      <c r="BB35" s="12"/>
      <c r="BC35" s="12"/>
      <c r="BD35" s="12"/>
      <c r="BE35" s="12"/>
      <c r="BF35" s="12"/>
      <c r="BG35" s="8"/>
      <c r="BH35" s="9"/>
    </row>
    <row r="36" spans="3:60" ht="15" customHeight="1">
      <c r="C36" s="40" t="s">
        <v>110</v>
      </c>
      <c r="AH36" s="7"/>
      <c r="AI36" s="8"/>
      <c r="AJ36" s="8"/>
      <c r="AK36" s="8"/>
      <c r="AL36" s="12"/>
      <c r="AM36" s="12"/>
      <c r="AN36" s="12"/>
      <c r="AO36" s="12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2"/>
      <c r="BA36" s="12"/>
      <c r="BB36" s="12"/>
      <c r="BC36" s="12"/>
      <c r="BD36" s="12"/>
      <c r="BE36" s="12"/>
      <c r="BF36" s="12"/>
      <c r="BG36" s="12"/>
      <c r="BH36" s="9"/>
    </row>
    <row r="37" spans="4:60" ht="15" customHeight="1" thickBot="1">
      <c r="D37" s="33" t="s">
        <v>172</v>
      </c>
      <c r="E37" s="33" t="s">
        <v>173</v>
      </c>
      <c r="F37" s="20" t="str">
        <f>" "&amp;TEXT(Q,"0.00")&amp;" × "&amp;TEXT(α,"0.00")&amp;" / ( 100 × "&amp;TEXT(J,"0.00")&amp;" )"</f>
        <v> 69.77 × 1.50 / ( 100 × 49.00 )</v>
      </c>
      <c r="AH37" s="14"/>
      <c r="AI37" s="15"/>
      <c r="AJ37" s="16"/>
      <c r="AK37" s="16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8"/>
    </row>
    <row r="38" spans="5:60" ht="15" customHeight="1" thickTop="1">
      <c r="E38" s="33" t="s">
        <v>173</v>
      </c>
      <c r="F38" s="73">
        <f>ROUNDUP(Q*α/100/J,3)</f>
        <v>0.022000000000000002</v>
      </c>
      <c r="G38" s="73"/>
      <c r="H38" s="73"/>
      <c r="I38" s="119" t="s">
        <v>174</v>
      </c>
      <c r="J38" s="119"/>
      <c r="K38" s="33" t="s">
        <v>175</v>
      </c>
      <c r="L38" s="77">
        <f>+Fc/300</f>
        <v>0.07</v>
      </c>
      <c r="M38" s="77"/>
      <c r="N38" s="119" t="s">
        <v>174</v>
      </c>
      <c r="O38" s="119"/>
      <c r="S38" s="76" t="s">
        <v>5</v>
      </c>
      <c r="T38" s="76"/>
      <c r="U38" s="34" t="s">
        <v>3</v>
      </c>
      <c r="V38" s="77">
        <f>+F38/L38</f>
        <v>0.3142857142857143</v>
      </c>
      <c r="W38" s="77"/>
      <c r="X38" s="3" t="s">
        <v>4</v>
      </c>
      <c r="AH38" s="8"/>
      <c r="AI38" s="11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</row>
    <row r="39" spans="25:28" ht="15" customHeight="1">
      <c r="Y39" s="2"/>
      <c r="Z39" s="2"/>
      <c r="AA39" s="2"/>
      <c r="AB39" s="2"/>
    </row>
    <row r="40" spans="3:28" ht="15" customHeight="1">
      <c r="C40" s="2"/>
      <c r="D40" s="52"/>
      <c r="E40" s="5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3:28" ht="15" customHeight="1">
      <c r="C41" s="2"/>
      <c r="D41" s="35"/>
      <c r="E41" s="52"/>
      <c r="F41" s="69"/>
      <c r="G41" s="69"/>
      <c r="H41" s="69"/>
      <c r="I41" s="35"/>
      <c r="J41" s="2"/>
      <c r="K41" s="52"/>
      <c r="L41" s="70"/>
      <c r="M41" s="58"/>
      <c r="N41" s="62"/>
      <c r="O41" s="62"/>
      <c r="P41" s="54"/>
      <c r="Q41" s="53"/>
      <c r="R41" s="53"/>
      <c r="S41" s="53"/>
      <c r="T41" s="35"/>
      <c r="U41" s="2"/>
      <c r="V41" s="2"/>
      <c r="W41" s="71"/>
      <c r="X41" s="71"/>
      <c r="Y41" s="54"/>
      <c r="Z41" s="55"/>
      <c r="AA41" s="55"/>
      <c r="AB41" s="2"/>
    </row>
    <row r="45" ht="15" customHeight="1">
      <c r="AB45" s="2"/>
    </row>
    <row r="46" ht="15" customHeight="1">
      <c r="AC46" s="2"/>
    </row>
    <row r="47" spans="27:29" ht="15" customHeight="1">
      <c r="AA47" s="2"/>
      <c r="AB47" s="2"/>
      <c r="AC47" s="2"/>
    </row>
    <row r="48" spans="27:29" ht="15" customHeight="1">
      <c r="AA48" s="2"/>
      <c r="AB48" s="2"/>
      <c r="AC48" s="2"/>
    </row>
    <row r="49" spans="27:29" ht="15" customHeight="1">
      <c r="AA49" s="54"/>
      <c r="AB49" s="55"/>
      <c r="AC49" s="55"/>
    </row>
    <row r="50" ht="15" customHeight="1">
      <c r="AC50" s="2"/>
    </row>
    <row r="51" spans="29:61" ht="15" customHeight="1">
      <c r="AC51" s="55"/>
      <c r="AG51" s="8"/>
      <c r="BI51" s="8"/>
    </row>
    <row r="52" ht="15" customHeight="1">
      <c r="AC52" s="2"/>
    </row>
    <row r="53" ht="15" customHeight="1">
      <c r="AC53" s="55"/>
    </row>
    <row r="54" ht="15" customHeight="1">
      <c r="AC54" s="2"/>
    </row>
    <row r="57" spans="62:69" ht="15" customHeight="1">
      <c r="BJ57" s="8"/>
      <c r="BK57" s="8"/>
      <c r="BL57" s="8"/>
      <c r="BM57" s="8"/>
      <c r="BN57" s="8"/>
      <c r="BO57" s="8"/>
      <c r="BP57" s="8"/>
      <c r="BQ57" s="8"/>
    </row>
    <row r="58" spans="33:69" ht="15" customHeight="1">
      <c r="AG58" s="8"/>
      <c r="BI58" s="8"/>
      <c r="BJ58" s="8"/>
      <c r="BK58" s="8"/>
      <c r="BL58" s="8"/>
      <c r="BM58" s="8"/>
      <c r="BN58" s="8"/>
      <c r="BO58" s="8"/>
      <c r="BP58" s="8"/>
      <c r="BQ58" s="8"/>
    </row>
    <row r="62" spans="8:27" ht="15" customHeight="1"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5:27" ht="15" customHeight="1">
      <c r="E63" s="33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5:27" ht="15" customHeight="1">
      <c r="E64" s="33"/>
      <c r="F64" s="76"/>
      <c r="G64" s="76"/>
      <c r="H64" s="2"/>
      <c r="I64" s="52"/>
      <c r="J64" s="56"/>
      <c r="K64" s="56"/>
      <c r="L64" s="2"/>
      <c r="M64" s="53"/>
      <c r="N64" s="53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8:27" ht="15" customHeight="1"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8:27" ht="15" customHeight="1"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8:27" ht="15" customHeight="1"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</sheetData>
  <sheetProtection sheet="1" objects="1" scenarios="1"/>
  <mergeCells count="63">
    <mergeCell ref="BK14:BL14"/>
    <mergeCell ref="BM10:BN10"/>
    <mergeCell ref="BK10:BL10"/>
    <mergeCell ref="BK11:BL11"/>
    <mergeCell ref="BK12:BL12"/>
    <mergeCell ref="BK13:BL13"/>
    <mergeCell ref="BM12:BN12"/>
    <mergeCell ref="BM13:BN13"/>
    <mergeCell ref="AH7:AJ7"/>
    <mergeCell ref="AK7:AM7"/>
    <mergeCell ref="S19:U19"/>
    <mergeCell ref="V19:W19"/>
    <mergeCell ref="AH8:AJ8"/>
    <mergeCell ref="AH9:AJ9"/>
    <mergeCell ref="AK8:AM8"/>
    <mergeCell ref="BM14:BN14"/>
    <mergeCell ref="M4:N4"/>
    <mergeCell ref="P5:Q5"/>
    <mergeCell ref="S5:T5"/>
    <mergeCell ref="P4:R4"/>
    <mergeCell ref="AH4:AI4"/>
    <mergeCell ref="BM11:BN11"/>
    <mergeCell ref="BK9:BL9"/>
    <mergeCell ref="BM9:BN9"/>
    <mergeCell ref="N34:O34"/>
    <mergeCell ref="Z34:AA34"/>
    <mergeCell ref="O31:Q31"/>
    <mergeCell ref="AK9:AM9"/>
    <mergeCell ref="E6:I6"/>
    <mergeCell ref="M5:N5"/>
    <mergeCell ref="Q34:S34"/>
    <mergeCell ref="F31:M31"/>
    <mergeCell ref="L38:M38"/>
    <mergeCell ref="E13:I13"/>
    <mergeCell ref="E19:I19"/>
    <mergeCell ref="F28:H28"/>
    <mergeCell ref="F34:H34"/>
    <mergeCell ref="F24:H24"/>
    <mergeCell ref="AI18:AM19"/>
    <mergeCell ref="AK23:AU23"/>
    <mergeCell ref="O11:Q11"/>
    <mergeCell ref="O9:Q9"/>
    <mergeCell ref="Q14:S14"/>
    <mergeCell ref="O18:P18"/>
    <mergeCell ref="Q18:R18"/>
    <mergeCell ref="F64:G64"/>
    <mergeCell ref="AK32:AW32"/>
    <mergeCell ref="AK35:AT35"/>
    <mergeCell ref="AK29:AV29"/>
    <mergeCell ref="W34:X34"/>
    <mergeCell ref="N38:O38"/>
    <mergeCell ref="F38:H38"/>
    <mergeCell ref="I38:J38"/>
    <mergeCell ref="V38:W38"/>
    <mergeCell ref="S38:T38"/>
    <mergeCell ref="B9:B11"/>
    <mergeCell ref="M20:P20"/>
    <mergeCell ref="Q20:R20"/>
    <mergeCell ref="O17:P17"/>
    <mergeCell ref="O8:Q8"/>
    <mergeCell ref="O13:Q13"/>
    <mergeCell ref="M19:O19"/>
    <mergeCell ref="P19:R19"/>
  </mergeCells>
  <conditionalFormatting sqref="V38:W38 Z34:AA34 Z41:AA41 AB49:AC49 AC53 AC51">
    <cfRule type="cellIs" priority="1" dxfId="4" operator="greaterThan" stopIfTrue="1">
      <formula>1</formula>
    </cfRule>
  </conditionalFormatting>
  <conditionalFormatting sqref="M64:N64">
    <cfRule type="expression" priority="2" dxfId="4" stopIfTrue="1">
      <formula>$F$64&gt;$J$64</formula>
    </cfRule>
  </conditionalFormatting>
  <dataValidations count="2">
    <dataValidation type="list" allowBlank="1" showInputMessage="1" showErrorMessage="1" sqref="N34:O34 N41:O41">
      <formula1>"D13,D16,D19,D22,D25"</formula1>
    </dataValidation>
    <dataValidation type="list" allowBlank="1" showInputMessage="1" showErrorMessage="1" sqref="P19:R19">
      <formula1>"SD295A,SD345"</formula1>
    </dataValidation>
  </dataValidations>
  <hyperlinks>
    <hyperlink ref="AK23" r:id="rId1" display="構造設計講座（擁壁編）ＰＤＦ版"/>
    <hyperlink ref="AK26:AQ26" r:id="rId2" display="地盤許容応力度の計算（EXCELシート）"/>
    <hyperlink ref="AK29:AV29" r:id="rId3" display="コンクリートブロック土留めの設計 "/>
    <hyperlink ref="AK32:AW32" r:id="rId4" display="擁壁下のラップ形式柱状地盤改良設計 "/>
    <hyperlink ref="AK35:AT35" r:id="rId5" display="ラップ式柱状改良の断面性能 "/>
    <hyperlink ref="AK23:AU23" r:id="rId6" display="構造設計講座（ＲＣマンション編）"/>
    <hyperlink ref="AK26" r:id="rId7" display="地盤許容応力度の計算（EXCELシート）"/>
  </hyperlinks>
  <printOptions/>
  <pageMargins left="0.75" right="0.75" top="1" bottom="1" header="0.512" footer="0.512"/>
  <pageSetup horizontalDpi="300" verticalDpi="300" orientation="portrait" paperSize="9" r:id="rId9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shimada</dc:creator>
  <cp:keywords/>
  <dc:description/>
  <cp:lastModifiedBy>shimada-str.eng</cp:lastModifiedBy>
  <cp:lastPrinted>2015-04-05T10:22:47Z</cp:lastPrinted>
  <dcterms:created xsi:type="dcterms:W3CDTF">1997-01-08T22:48:59Z</dcterms:created>
  <dcterms:modified xsi:type="dcterms:W3CDTF">2019-04-13T08:10:22Z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